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1075132E-C9B3-42CA-8F42-AC8AED752698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5" l="1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M29" i="7"/>
  <c r="L29" i="7"/>
  <c r="N29" i="7" s="1"/>
  <c r="O30" i="7"/>
  <c r="J30" i="7"/>
  <c r="C29" i="7"/>
  <c r="B29" i="7"/>
  <c r="E30" i="7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Y57" i="9"/>
  <c r="V57" i="9"/>
  <c r="P57" i="9"/>
  <c r="M57" i="9"/>
  <c r="G57" i="9"/>
  <c r="D57" i="9"/>
  <c r="Y55" i="9"/>
  <c r="V55" i="9"/>
  <c r="P55" i="9"/>
  <c r="M55" i="9"/>
  <c r="G55" i="9"/>
  <c r="D55" i="9"/>
  <c r="Y54" i="9"/>
  <c r="V54" i="9"/>
  <c r="P54" i="9"/>
  <c r="M54" i="9"/>
  <c r="G54" i="9"/>
  <c r="D54" i="9"/>
  <c r="Y53" i="9"/>
  <c r="V53" i="9"/>
  <c r="P53" i="9"/>
  <c r="M53" i="9"/>
  <c r="G53" i="9"/>
  <c r="D53" i="9"/>
  <c r="Y52" i="9"/>
  <c r="V52" i="9"/>
  <c r="P52" i="9"/>
  <c r="M52" i="9"/>
  <c r="G52" i="9"/>
  <c r="D52" i="9"/>
  <c r="Y51" i="9"/>
  <c r="V51" i="9"/>
  <c r="P51" i="9"/>
  <c r="M51" i="9"/>
  <c r="G51" i="9"/>
  <c r="D51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0" i="9"/>
  <c r="V40" i="9"/>
  <c r="P40" i="9"/>
  <c r="M40" i="9"/>
  <c r="G40" i="9"/>
  <c r="D40" i="9"/>
  <c r="Y38" i="9"/>
  <c r="V38" i="9"/>
  <c r="P38" i="9"/>
  <c r="M38" i="9"/>
  <c r="G38" i="9"/>
  <c r="D38" i="9"/>
  <c r="Y36" i="9"/>
  <c r="V36" i="9"/>
  <c r="P36" i="9"/>
  <c r="M36" i="9"/>
  <c r="G36" i="9"/>
  <c r="D36" i="9"/>
  <c r="Y34" i="9"/>
  <c r="V34" i="9"/>
  <c r="P34" i="9"/>
  <c r="M34" i="9"/>
  <c r="G34" i="9"/>
  <c r="D34" i="9"/>
  <c r="Y33" i="9"/>
  <c r="V33" i="9"/>
  <c r="P33" i="9"/>
  <c r="M33" i="9"/>
  <c r="G33" i="9"/>
  <c r="D33" i="9"/>
  <c r="Y32" i="9"/>
  <c r="V32" i="9"/>
  <c r="P32" i="9"/>
  <c r="M32" i="9"/>
  <c r="G32" i="9"/>
  <c r="D32" i="9"/>
  <c r="Y31" i="9"/>
  <c r="V31" i="9"/>
  <c r="P31" i="9"/>
  <c r="M31" i="9"/>
  <c r="G31" i="9"/>
  <c r="D31" i="9"/>
  <c r="Y28" i="9"/>
  <c r="V28" i="9"/>
  <c r="P28" i="9"/>
  <c r="M28" i="9"/>
  <c r="G28" i="9"/>
  <c r="D28" i="9"/>
  <c r="Y26" i="9"/>
  <c r="V26" i="9"/>
  <c r="P26" i="9"/>
  <c r="M26" i="9"/>
  <c r="G26" i="9"/>
  <c r="D26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5" i="9"/>
  <c r="V15" i="9"/>
  <c r="P15" i="9"/>
  <c r="M15" i="9"/>
  <c r="G15" i="9"/>
  <c r="D15" i="9"/>
  <c r="Y14" i="9"/>
  <c r="V14" i="9"/>
  <c r="P14" i="9"/>
  <c r="M14" i="9"/>
  <c r="G14" i="9"/>
  <c r="D14" i="9"/>
  <c r="Y11" i="9"/>
  <c r="V11" i="9"/>
  <c r="P11" i="9"/>
  <c r="M11" i="9"/>
  <c r="G11" i="9"/>
  <c r="D11" i="9"/>
  <c r="Y9" i="9"/>
  <c r="V9" i="9"/>
  <c r="P9" i="9"/>
  <c r="M9" i="9"/>
  <c r="G9" i="9"/>
  <c r="D9" i="9"/>
  <c r="Y7" i="9"/>
  <c r="V7" i="9"/>
  <c r="P7" i="9"/>
  <c r="M7" i="9"/>
  <c r="G7" i="9"/>
  <c r="D7" i="9"/>
  <c r="Y6" i="9"/>
  <c r="V6" i="9"/>
  <c r="P6" i="9"/>
  <c r="M6" i="9"/>
  <c r="G6" i="9"/>
  <c r="D6" i="9"/>
  <c r="Y5" i="9"/>
  <c r="V5" i="9"/>
  <c r="P5" i="9"/>
  <c r="M5" i="9"/>
  <c r="G5" i="9"/>
  <c r="D5" i="9"/>
  <c r="X57" i="9"/>
  <c r="U57" i="9"/>
  <c r="O57" i="9"/>
  <c r="L57" i="9"/>
  <c r="F57" i="9"/>
  <c r="C57" i="9"/>
  <c r="X55" i="9"/>
  <c r="U55" i="9"/>
  <c r="O55" i="9"/>
  <c r="L55" i="9"/>
  <c r="F55" i="9"/>
  <c r="C55" i="9"/>
  <c r="X54" i="9"/>
  <c r="U54" i="9"/>
  <c r="O54" i="9"/>
  <c r="L54" i="9"/>
  <c r="F54" i="9"/>
  <c r="C54" i="9"/>
  <c r="X53" i="9"/>
  <c r="U53" i="9"/>
  <c r="O53" i="9"/>
  <c r="L53" i="9"/>
  <c r="F53" i="9"/>
  <c r="C53" i="9"/>
  <c r="X52" i="9"/>
  <c r="U52" i="9"/>
  <c r="O52" i="9"/>
  <c r="L52" i="9"/>
  <c r="F52" i="9"/>
  <c r="C52" i="9"/>
  <c r="X51" i="9"/>
  <c r="U51" i="9"/>
  <c r="O51" i="9"/>
  <c r="L51" i="9"/>
  <c r="F51" i="9"/>
  <c r="C51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0" i="9"/>
  <c r="U40" i="9"/>
  <c r="O40" i="9"/>
  <c r="L40" i="9"/>
  <c r="F40" i="9"/>
  <c r="C40" i="9"/>
  <c r="X38" i="9"/>
  <c r="U38" i="9"/>
  <c r="O38" i="9"/>
  <c r="L38" i="9"/>
  <c r="F38" i="9"/>
  <c r="C38" i="9"/>
  <c r="X36" i="9"/>
  <c r="U36" i="9"/>
  <c r="O36" i="9"/>
  <c r="L36" i="9"/>
  <c r="F36" i="9"/>
  <c r="C36" i="9"/>
  <c r="X34" i="9"/>
  <c r="U34" i="9"/>
  <c r="O34" i="9"/>
  <c r="L34" i="9"/>
  <c r="F34" i="9"/>
  <c r="C34" i="9"/>
  <c r="X33" i="9"/>
  <c r="U33" i="9"/>
  <c r="O33" i="9"/>
  <c r="L33" i="9"/>
  <c r="F33" i="9"/>
  <c r="C33" i="9"/>
  <c r="X32" i="9"/>
  <c r="U32" i="9"/>
  <c r="O32" i="9"/>
  <c r="L32" i="9"/>
  <c r="F32" i="9"/>
  <c r="C32" i="9"/>
  <c r="X31" i="9"/>
  <c r="U31" i="9"/>
  <c r="O31" i="9"/>
  <c r="L31" i="9"/>
  <c r="F31" i="9"/>
  <c r="C31" i="9"/>
  <c r="X28" i="9"/>
  <c r="U28" i="9"/>
  <c r="O28" i="9"/>
  <c r="L28" i="9"/>
  <c r="F28" i="9"/>
  <c r="C28" i="9"/>
  <c r="X26" i="9"/>
  <c r="U26" i="9"/>
  <c r="O26" i="9"/>
  <c r="L26" i="9"/>
  <c r="F26" i="9"/>
  <c r="C26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5" i="9"/>
  <c r="U15" i="9"/>
  <c r="O15" i="9"/>
  <c r="L15" i="9"/>
  <c r="F15" i="9"/>
  <c r="C15" i="9"/>
  <c r="X14" i="9"/>
  <c r="U14" i="9"/>
  <c r="O14" i="9"/>
  <c r="L14" i="9"/>
  <c r="F14" i="9"/>
  <c r="C14" i="9"/>
  <c r="X11" i="9"/>
  <c r="U11" i="9"/>
  <c r="O11" i="9"/>
  <c r="L11" i="9"/>
  <c r="F11" i="9"/>
  <c r="C11" i="9"/>
  <c r="X9" i="9"/>
  <c r="U9" i="9"/>
  <c r="O9" i="9"/>
  <c r="L9" i="9"/>
  <c r="F9" i="9"/>
  <c r="C9" i="9"/>
  <c r="X7" i="9"/>
  <c r="U7" i="9"/>
  <c r="O7" i="9"/>
  <c r="L7" i="9"/>
  <c r="F7" i="9"/>
  <c r="C7" i="9"/>
  <c r="X6" i="9"/>
  <c r="U6" i="9"/>
  <c r="O6" i="9"/>
  <c r="L6" i="9"/>
  <c r="F6" i="9"/>
  <c r="C6" i="9"/>
  <c r="X5" i="9"/>
  <c r="U5" i="9"/>
  <c r="O5" i="9"/>
  <c r="L5" i="9"/>
  <c r="F5" i="9"/>
  <c r="C5" i="9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29" i="7" l="1"/>
  <c r="M28" i="7"/>
  <c r="L28" i="7"/>
  <c r="J29" i="7"/>
  <c r="C28" i="7"/>
  <c r="B28" i="7"/>
  <c r="N28" i="7" l="1"/>
  <c r="E29" i="7"/>
  <c r="D28" i="7"/>
  <c r="M27" i="7"/>
  <c r="L27" i="7"/>
  <c r="O28" i="7"/>
  <c r="J28" i="7"/>
  <c r="C27" i="7"/>
  <c r="B27" i="7"/>
  <c r="E28" i="7"/>
  <c r="E22" i="1" l="1"/>
  <c r="H22" i="1"/>
  <c r="N27" i="7"/>
  <c r="D27" i="7"/>
  <c r="M26" i="7"/>
  <c r="L26" i="7"/>
  <c r="M25" i="7"/>
  <c r="L25" i="7"/>
  <c r="O27" i="7"/>
  <c r="J27" i="7"/>
  <c r="C26" i="7"/>
  <c r="B26" i="7"/>
  <c r="E27" i="7"/>
  <c r="N26" i="7" l="1"/>
  <c r="N25" i="7"/>
  <c r="D26" i="7"/>
  <c r="H6" i="7"/>
  <c r="H5" i="7"/>
  <c r="L5" i="15"/>
  <c r="W57" i="9"/>
  <c r="N57" i="9"/>
  <c r="Q57" i="9"/>
  <c r="Z57" i="9"/>
  <c r="F12" i="7"/>
  <c r="F7" i="7"/>
  <c r="E57" i="9"/>
  <c r="H57" i="9"/>
  <c r="O26" i="7" l="1"/>
  <c r="J26" i="7"/>
  <c r="C25" i="7"/>
  <c r="B25" i="7"/>
  <c r="E26" i="7"/>
  <c r="E25" i="7"/>
  <c r="O25" i="7"/>
  <c r="M24" i="7"/>
  <c r="L24" i="7"/>
  <c r="J25" i="7"/>
  <c r="C24" i="7"/>
  <c r="B24" i="7"/>
  <c r="N24" i="7" l="1"/>
  <c r="K16" i="3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D25" i="7"/>
  <c r="O24" i="7"/>
  <c r="M23" i="7"/>
  <c r="L23" i="7"/>
  <c r="J24" i="7"/>
  <c r="B23" i="7"/>
  <c r="C23" i="7"/>
  <c r="E24" i="7"/>
  <c r="N23" i="7" l="1"/>
  <c r="E61" i="9"/>
  <c r="G23" i="7"/>
  <c r="H23" i="7"/>
  <c r="O23" i="7"/>
  <c r="M22" i="7"/>
  <c r="L22" i="7"/>
  <c r="J23" i="7"/>
  <c r="E23" i="7"/>
  <c r="C22" i="7"/>
  <c r="B22" i="7"/>
  <c r="G9" i="17"/>
  <c r="N22" i="7" l="1"/>
  <c r="D22" i="7"/>
  <c r="N55" i="9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X60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E60" i="9" l="1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47" i="9"/>
  <c r="AA5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B30" i="7" l="1"/>
  <c r="C30" i="7"/>
  <c r="H18" i="8"/>
  <c r="H31" i="8"/>
  <c r="H32" i="8"/>
  <c r="H28" i="8"/>
  <c r="D30" i="7" l="1"/>
  <c r="D29" i="7"/>
  <c r="D24" i="7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K18" i="3" s="1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H11" i="1" s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B33" i="1" l="1"/>
  <c r="D33" i="1" s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C22" i="1" l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D6" i="1"/>
  <c r="G6" i="1" s="1"/>
  <c r="C8" i="1"/>
  <c r="C33" i="7"/>
  <c r="B10" i="1"/>
  <c r="D21" i="7"/>
  <c r="F21" i="7" s="1"/>
  <c r="F19" i="1"/>
  <c r="J45" i="2"/>
  <c r="K45" i="2" s="1"/>
  <c r="K45" i="3"/>
  <c r="J23" i="2"/>
  <c r="K23" i="2" s="1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D16" i="1"/>
  <c r="G16" i="1" s="1"/>
  <c r="C7" i="5"/>
  <c r="E5" i="5"/>
  <c r="F5" i="5" s="1"/>
  <c r="I5" i="5" s="1"/>
  <c r="D22" i="1" l="1"/>
  <c r="F22" i="1" s="1"/>
  <c r="B22" i="1"/>
  <c r="C33" i="1"/>
  <c r="B32" i="1"/>
  <c r="D32" i="1" s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B11" i="1"/>
  <c r="L30" i="7" s="1"/>
  <c r="D28" i="1"/>
  <c r="G28" i="1" s="1"/>
  <c r="B29" i="1"/>
  <c r="C12" i="5"/>
  <c r="C21" i="5"/>
  <c r="E11" i="5"/>
  <c r="F11" i="5" s="1"/>
  <c r="I11" i="5" s="1"/>
  <c r="C29" i="1"/>
  <c r="F16" i="1"/>
  <c r="D22" i="5"/>
  <c r="F15" i="5"/>
  <c r="I15" i="5" s="1"/>
  <c r="E17" i="5"/>
  <c r="D27" i="1" s="1"/>
  <c r="G27" i="1" s="1"/>
  <c r="F17" i="1"/>
  <c r="H29" i="7" l="1"/>
  <c r="M30" i="7"/>
  <c r="H30" i="7" s="1"/>
  <c r="G30" i="7"/>
  <c r="G22" i="1"/>
  <c r="I22" i="1" s="1"/>
  <c r="P29" i="7"/>
  <c r="G29" i="7"/>
  <c r="G28" i="7"/>
  <c r="H27" i="7"/>
  <c r="H28" i="7"/>
  <c r="P27" i="7"/>
  <c r="G27" i="7"/>
  <c r="G25" i="7"/>
  <c r="G26" i="7"/>
  <c r="H26" i="7"/>
  <c r="H24" i="7"/>
  <c r="H25" i="7"/>
  <c r="P24" i="7"/>
  <c r="G24" i="7"/>
  <c r="H22" i="7"/>
  <c r="G22" i="7"/>
  <c r="N21" i="7"/>
  <c r="P31" i="7"/>
  <c r="I17" i="5"/>
  <c r="I12" i="5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I17" i="1"/>
  <c r="D11" i="1"/>
  <c r="F11" i="1" s="1"/>
  <c r="E12" i="5"/>
  <c r="C22" i="5"/>
  <c r="H11" i="5"/>
  <c r="F27" i="1"/>
  <c r="D29" i="1"/>
  <c r="F29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N30" i="7" l="1"/>
  <c r="I30" i="7"/>
  <c r="I29" i="7"/>
  <c r="K29" i="7" s="1"/>
  <c r="I28" i="7"/>
  <c r="K28" i="7" s="1"/>
  <c r="I27" i="7"/>
  <c r="K27" i="7" s="1"/>
  <c r="I24" i="7"/>
  <c r="K24" i="7" s="1"/>
  <c r="I26" i="7"/>
  <c r="K26" i="7" s="1"/>
  <c r="P26" i="7"/>
  <c r="I25" i="7"/>
  <c r="K25" i="7" s="1"/>
  <c r="P25" i="7"/>
  <c r="I22" i="7"/>
  <c r="K22" i="7" s="1"/>
  <c r="K31" i="7"/>
  <c r="P32" i="7"/>
  <c r="K30" i="7"/>
  <c r="P30" i="7"/>
  <c r="I22" i="5"/>
  <c r="P28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1" i="5"/>
  <c r="E32" i="1"/>
  <c r="K20" i="5"/>
  <c r="K22" i="5"/>
  <c r="N33" i="7" l="1"/>
  <c r="P33" i="7" s="1"/>
  <c r="L33" i="7"/>
  <c r="I21" i="7" l="1"/>
  <c r="P21" i="7"/>
  <c r="K21" i="7" l="1"/>
  <c r="G33" i="7"/>
  <c r="B33" i="7"/>
  <c r="D23" i="7"/>
  <c r="D33" i="7" s="1"/>
  <c r="F33" i="7" l="1"/>
  <c r="I23" i="7"/>
  <c r="F23" i="7"/>
  <c r="K23" i="7" l="1"/>
  <c r="I33" i="7"/>
  <c r="K33" i="7" l="1"/>
</calcChain>
</file>

<file path=xl/sharedStrings.xml><?xml version="1.0" encoding="utf-8"?>
<sst xmlns="http://schemas.openxmlformats.org/spreadsheetml/2006/main" count="676" uniqueCount="252">
  <si>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</si>
  <si>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</si>
  <si>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</si>
  <si>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</si>
  <si>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</si>
  <si>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</si>
  <si>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</si>
  <si>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</si>
  <si>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</si>
  <si>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</si>
  <si>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</si>
  <si>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</si>
  <si>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</si>
  <si>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</si>
  <si>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</si>
  <si>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</si>
  <si>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</si>
  <si>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</si>
  <si>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</si>
  <si>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</si>
  <si>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</si>
  <si>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</si>
  <si>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</si>
  <si>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</si>
  <si>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</si>
  <si>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</si>
  <si>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</si>
  <si>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</si>
  <si>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</si>
  <si>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</si>
  <si>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</si>
  <si>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</si>
  <si>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</si>
  <si>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</si>
  <si>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</si>
  <si>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</si>
  <si>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</si>
  <si>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</si>
  <si>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</si>
  <si>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</si>
  <si>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</si>
  <si>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</si>
  <si>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</si>
  <si>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</si>
  <si>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</si>
  <si>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</si>
  <si>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</si>
  <si>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</si>
  <si>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</si>
  <si>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</si>
  <si>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</si>
  <si>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</si>
  <si>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</si>
  <si>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</si>
  <si>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</si>
  <si>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</si>
  <si>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</si>
  <si>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</si>
  <si>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</si>
  <si>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</si>
  <si>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</si>
  <si>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</si>
  <si>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</si>
  <si>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</si>
  <si>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</si>
  <si>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</si>
  <si>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</si>
  <si>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</si>
  <si>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</si>
  <si>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</si>
  <si>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</si>
  <si>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</si>
  <si>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</si>
  <si>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</si>
  <si>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</si>
  <si>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</si>
  <si>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</si>
  <si>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</si>
  <si>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</si>
  <si>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</si>
  <si>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</si>
  <si>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</si>
  <si>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</si>
  <si>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</si>
  <si>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</si>
  <si>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</si>
  <si>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</si>
  <si>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</si>
  <si>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</si>
  <si>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</si>
  <si>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</si>
  <si>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</si>
  <si>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</si>
  <si>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</si>
  <si>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</si>
  <si>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</si>
  <si>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</si>
  <si>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</si>
  <si>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</si>
  <si>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</si>
  <si>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</si>
  <si>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</si>
  <si>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</si>
  <si>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</si>
  <si>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</si>
  <si>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</si>
  <si>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</si>
  <si>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</si>
  <si>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</si>
  <si>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</si>
  <si>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</si>
  <si>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</si>
  <si>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</si>
  <si>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</si>
  <si>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</si>
  <si>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</si>
  <si>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</si>
  <si>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</si>
  <si>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</si>
  <si>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</si>
  <si>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</si>
  <si>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</si>
  <si>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</si>
  <si>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</si>
  <si>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</si>
  <si>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</si>
  <si>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</si>
  <si>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</si>
  <si>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</si>
  <si>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</si>
  <si>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</si>
  <si>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</si>
  <si>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</si>
  <si>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</si>
  <si>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</si>
  <si>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</si>
  <si>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</si>
  <si>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</si>
  <si>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</si>
  <si>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</si>
  <si>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</si>
  <si>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</si>
  <si>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</si>
  <si>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</si>
  <si>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</si>
  <si>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</si>
  <si>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</si>
  <si>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</si>
  <si>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</si>
  <si>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</si>
  <si>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</si>
  <si>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</si>
  <si>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</si>
  <si>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</si>
  <si>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</si>
  <si>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</si>
  <si>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</si>
  <si>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</si>
  <si>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</si>
  <si>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</si>
  <si>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</si>
  <si>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</si>
  <si>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</si>
  <si>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</si>
  <si>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</si>
  <si>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</si>
  <si>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</si>
  <si>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</si>
  <si>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</si>
  <si>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</si>
  <si>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</si>
  <si>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</si>
  <si>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</si>
  <si>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</si>
  <si>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</si>
  <si>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</si>
  <si>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</si>
  <si>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</si>
  <si>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</si>
  <si>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</si>
  <si>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</si>
  <si>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</si>
  <si>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</si>
  <si>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</si>
  <si>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</si>
  <si>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</si>
  <si>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</si>
  <si>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</si>
  <si>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</si>
  <si>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</si>
  <si>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</si>
  <si>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</si>
  <si>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</si>
  <si>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</si>
  <si>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</si>
  <si>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</si>
  <si>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</si>
  <si>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</si>
  <si>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</si>
  <si>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</si>
  <si>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</si>
  <si>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</si>
  <si>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</si>
  <si>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</si>
  <si>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</si>
  <si>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</si>
  <si>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</si>
  <si>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</si>
  <si>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</si>
  <si>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</si>
  <si>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</si>
  <si>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</si>
  <si>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</si>
  <si>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</si>
  <si>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</si>
  <si>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</si>
  <si>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</si>
  <si>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</si>
  <si>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</si>
  <si>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</si>
  <si>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</si>
  <si>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</si>
  <si>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</si>
  <si>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</si>
  <si>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</si>
  <si>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</si>
  <si>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</si>
  <si>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</si>
  <si>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</si>
  <si>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</si>
  <si>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</si>
  <si>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</si>
  <si>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</si>
  <si>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</si>
  <si>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</si>
  <si>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</si>
  <si>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</si>
  <si>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</si>
  <si>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</si>
  <si>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</si>
  <si>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</si>
  <si>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</si>
  <si>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</si>
  <si>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</si>
  <si>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</si>
  <si>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</si>
  <si>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WestJet</t>
  </si>
  <si>
    <t>Red Way</t>
  </si>
  <si>
    <t>.</t>
  </si>
  <si>
    <t>Air Wisconsin-American</t>
  </si>
  <si>
    <t>Jazz_AC- Air Canada</t>
  </si>
  <si>
    <t>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</si>
</sst>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October%202022.xlsx" TargetMode="External"/><Relationship Id="rId1" Type="http://schemas.openxmlformats.org/officeDocument/2006/relationships/externalLinkPath" Target="/data/Finance%20Stats/Monthly%20Operations%20report/2022/MSP%20October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MSP%20May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May%202022.xlsx" TargetMode="External"/><Relationship Id="rId1" Type="http://schemas.openxmlformats.org/officeDocument/2006/relationships/externalLinkPath" Target="/data/Finance%20Stats/Monthly%20Operations%20report/2022/MSP%20May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ne%202023.xlsx" TargetMode="External"/><Relationship Id="rId1" Type="http://schemas.openxmlformats.org/officeDocument/2006/relationships/externalLinkPath" Target="MSP%20June%20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une%20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ly%202023.xlsx" TargetMode="External"/><Relationship Id="rId1" Type="http://schemas.openxmlformats.org/officeDocument/2006/relationships/externalLinkPath" Target="MSP%20July%20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July%202022.xlsx" TargetMode="External"/><Relationship Id="rId1" Type="http://schemas.openxmlformats.org/officeDocument/2006/relationships/externalLinkPath" Target="/data/Finance%20Stats/Monthly%20Operations%20report/2022/MSP%20July%20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ugust%202023.xlsx" TargetMode="External"/><Relationship Id="rId1" Type="http://schemas.openxmlformats.org/officeDocument/2006/relationships/externalLinkPath" Target="MSP%20August%2020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September%202023.xlsx" TargetMode="External"/><Relationship Id="rId1" Type="http://schemas.openxmlformats.org/officeDocument/2006/relationships/externalLinkPath" Target="MSP%20September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September%202022.xlsx" TargetMode="External"/><Relationship Id="rId1" Type="http://schemas.openxmlformats.org/officeDocument/2006/relationships/externalLinkPath" Target="/data/Finance%20Stats/Monthly%20Operations%20report/2022/MSP%20September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2160507</v>
          </cell>
          <cell r="G5">
            <v>21071359</v>
          </cell>
        </row>
        <row r="6">
          <cell r="D6">
            <v>442657</v>
          </cell>
          <cell r="G6">
            <v>4403483</v>
          </cell>
        </row>
        <row r="7">
          <cell r="D7">
            <v>708</v>
          </cell>
          <cell r="G7">
            <v>5544</v>
          </cell>
        </row>
        <row r="10">
          <cell r="D10">
            <v>85981</v>
          </cell>
          <cell r="G10">
            <v>743254</v>
          </cell>
        </row>
        <row r="16">
          <cell r="D16">
            <v>15250</v>
          </cell>
          <cell r="G16">
            <v>150517</v>
          </cell>
        </row>
        <row r="17">
          <cell r="D17">
            <v>7512</v>
          </cell>
          <cell r="G17">
            <v>82235</v>
          </cell>
        </row>
        <row r="18">
          <cell r="D18">
            <v>5</v>
          </cell>
          <cell r="G18">
            <v>52</v>
          </cell>
        </row>
        <row r="19">
          <cell r="D19">
            <v>1223</v>
          </cell>
          <cell r="G19">
            <v>12891</v>
          </cell>
        </row>
        <row r="20">
          <cell r="D20">
            <v>1524</v>
          </cell>
          <cell r="G20">
            <v>14803</v>
          </cell>
        </row>
        <row r="21">
          <cell r="D21">
            <v>12</v>
          </cell>
          <cell r="G21">
            <v>780</v>
          </cell>
        </row>
        <row r="27">
          <cell r="D27">
            <v>17671.681136669562</v>
          </cell>
          <cell r="G27">
            <v>171693.69435326615</v>
          </cell>
        </row>
        <row r="28">
          <cell r="D28">
            <v>1996.6274301897001</v>
          </cell>
          <cell r="G28">
            <v>24799.525713907096</v>
          </cell>
        </row>
        <row r="32">
          <cell r="B32">
            <v>909031</v>
          </cell>
          <cell r="D32">
            <v>8748438</v>
          </cell>
        </row>
        <row r="33">
          <cell r="B33">
            <v>399574</v>
          </cell>
          <cell r="D33">
            <v>3967427</v>
          </cell>
        </row>
      </sheetData>
      <sheetData sheetId="1"/>
      <sheetData sheetId="2"/>
      <sheetData sheetId="3"/>
      <sheetData sheetId="4"/>
      <sheetData sheetId="5">
        <row r="30">
          <cell r="D30">
            <v>138306</v>
          </cell>
          <cell r="I30">
            <v>2551547</v>
          </cell>
          <cell r="N30">
            <v>2689853</v>
          </cell>
        </row>
      </sheetData>
      <sheetData sheetId="6"/>
      <sheetData sheetId="7">
        <row r="5">
          <cell r="F5">
            <v>9294.7236397384604</v>
          </cell>
          <cell r="I5">
            <v>95191.392540466826</v>
          </cell>
        </row>
        <row r="6">
          <cell r="F6">
            <v>1071.4627422352701</v>
          </cell>
          <cell r="I6">
            <v>14011.744547053328</v>
          </cell>
        </row>
        <row r="10">
          <cell r="F10">
            <v>8376.9574969310997</v>
          </cell>
          <cell r="I10">
            <v>76502.301812799327</v>
          </cell>
        </row>
        <row r="11">
          <cell r="F11">
            <v>925.16468795442995</v>
          </cell>
          <cell r="I11">
            <v>10787.781166853767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17671.681136669558</v>
          </cell>
          <cell r="I20">
            <v>171693.69435326618</v>
          </cell>
        </row>
        <row r="21">
          <cell r="F21">
            <v>1996.6274301896999</v>
          </cell>
          <cell r="I21">
            <v>24799.5257139071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133601</v>
          </cell>
          <cell r="C24">
            <v>115857</v>
          </cell>
          <cell r="L24">
            <v>1438963</v>
          </cell>
          <cell r="M24">
            <v>1343142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102957</v>
          </cell>
          <cell r="C25">
            <v>111285</v>
          </cell>
          <cell r="L25">
            <v>1454036</v>
          </cell>
          <cell r="M25">
            <v>1408918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131276</v>
          </cell>
          <cell r="I25">
            <v>2565837</v>
          </cell>
          <cell r="N25">
            <v>2697113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121820</v>
          </cell>
          <cell r="C26">
            <v>128458</v>
          </cell>
          <cell r="L26">
            <v>1633239</v>
          </cell>
          <cell r="M26">
            <v>1624341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180003</v>
          </cell>
          <cell r="I26">
            <v>2666878</v>
          </cell>
          <cell r="N26">
            <v>2846881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139115</v>
          </cell>
          <cell r="C27">
            <v>126500</v>
          </cell>
          <cell r="L27">
            <v>1715903</v>
          </cell>
          <cell r="M27">
            <v>1703844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180630</v>
          </cell>
          <cell r="I27">
            <v>2778188</v>
          </cell>
          <cell r="N27">
            <v>2958818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136198</v>
          </cell>
          <cell r="C28">
            <v>125692</v>
          </cell>
          <cell r="L28">
            <v>1683949</v>
          </cell>
          <cell r="M28">
            <v>1659442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181603</v>
          </cell>
          <cell r="I28">
            <v>2731608</v>
          </cell>
          <cell r="N28">
            <v>2913211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22426373</v>
          </cell>
        </row>
        <row r="6">
          <cell r="G6">
            <v>3058461</v>
          </cell>
        </row>
        <row r="7">
          <cell r="G7">
            <v>3390</v>
          </cell>
        </row>
        <row r="10">
          <cell r="G10">
            <v>723764</v>
          </cell>
        </row>
        <row r="16">
          <cell r="G16">
            <v>161554</v>
          </cell>
        </row>
        <row r="17">
          <cell r="G17">
            <v>56072</v>
          </cell>
        </row>
        <row r="18">
          <cell r="G18">
            <v>58</v>
          </cell>
        </row>
        <row r="19">
          <cell r="G19">
            <v>10373</v>
          </cell>
        </row>
        <row r="20">
          <cell r="G20">
            <v>13411</v>
          </cell>
        </row>
        <row r="21">
          <cell r="G21">
            <v>495</v>
          </cell>
        </row>
        <row r="27">
          <cell r="G27">
            <v>141100.79821241074</v>
          </cell>
        </row>
        <row r="28">
          <cell r="G28">
            <v>9029.64561948757</v>
          </cell>
        </row>
        <row r="32">
          <cell r="D32">
            <v>8645735</v>
          </cell>
        </row>
        <row r="33">
          <cell r="D33">
            <v>4051879</v>
          </cell>
        </row>
      </sheetData>
      <sheetData sheetId="1"/>
      <sheetData sheetId="2"/>
      <sheetData sheetId="3"/>
      <sheetData sheetId="4"/>
      <sheetData sheetId="5">
        <row r="29">
          <cell r="B29">
            <v>114472</v>
          </cell>
          <cell r="C29">
            <v>112599</v>
          </cell>
          <cell r="L29">
            <v>1416298</v>
          </cell>
          <cell r="M29">
            <v>1440790</v>
          </cell>
        </row>
      </sheetData>
      <sheetData sheetId="6"/>
      <sheetData sheetId="7">
        <row r="5">
          <cell r="I5">
            <v>78106.240176198073</v>
          </cell>
        </row>
        <row r="6">
          <cell r="I6">
            <v>5113.6516010826399</v>
          </cell>
        </row>
        <row r="10">
          <cell r="I10">
            <v>62994.558036212649</v>
          </cell>
        </row>
        <row r="11">
          <cell r="I11">
            <v>3915.9940184049296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141100.79821241074</v>
          </cell>
        </row>
        <row r="21">
          <cell r="I21">
            <v>9029.64561948757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146335</v>
          </cell>
          <cell r="I29">
            <v>2451268</v>
          </cell>
          <cell r="N29">
            <v>2597603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A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5">
        <row r="4">
          <cell r="IO4">
            <v>35</v>
          </cell>
        </row>
        <row r="5">
          <cell r="IO5">
            <v>35</v>
          </cell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A19">
            <v>108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K19">
            <v>50</v>
          </cell>
          <cell r="IL19">
            <v>54</v>
          </cell>
          <cell r="IM19">
            <v>34</v>
          </cell>
          <cell r="IN19">
            <v>18</v>
          </cell>
          <cell r="IO19">
            <v>70</v>
          </cell>
        </row>
        <row r="22">
          <cell r="IO22">
            <v>4888</v>
          </cell>
        </row>
        <row r="23">
          <cell r="IO23">
            <v>4523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A41">
            <v>15464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K41">
            <v>7479</v>
          </cell>
          <cell r="IL41">
            <v>8124</v>
          </cell>
          <cell r="IM41">
            <v>4809</v>
          </cell>
          <cell r="IN41">
            <v>1805</v>
          </cell>
          <cell r="IO41">
            <v>9411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6"/>
      <sheetData sheetId="7">
        <row r="4">
          <cell r="IO4">
            <v>87</v>
          </cell>
        </row>
        <row r="5">
          <cell r="IO5">
            <v>89</v>
          </cell>
        </row>
        <row r="8">
          <cell r="IO8">
            <v>2</v>
          </cell>
        </row>
        <row r="9">
          <cell r="IO9">
            <v>1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A19">
            <v>128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K19">
            <v>213</v>
          </cell>
          <cell r="IL19">
            <v>254</v>
          </cell>
          <cell r="IM19">
            <v>261</v>
          </cell>
          <cell r="IN19">
            <v>214</v>
          </cell>
          <cell r="IO19">
            <v>179</v>
          </cell>
        </row>
        <row r="22">
          <cell r="IO22">
            <v>11859</v>
          </cell>
        </row>
        <row r="23">
          <cell r="IO23">
            <v>12167</v>
          </cell>
        </row>
        <row r="27">
          <cell r="IO27">
            <v>453</v>
          </cell>
        </row>
        <row r="28">
          <cell r="IO28">
            <v>497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A41">
            <v>18878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K41">
            <v>31541</v>
          </cell>
          <cell r="IL41">
            <v>36064</v>
          </cell>
          <cell r="IM41">
            <v>36121</v>
          </cell>
          <cell r="IN41">
            <v>27394</v>
          </cell>
          <cell r="IO41">
            <v>24026</v>
          </cell>
        </row>
        <row r="47">
          <cell r="IO47">
            <v>25765</v>
          </cell>
        </row>
        <row r="52">
          <cell r="IO52">
            <v>9745</v>
          </cell>
        </row>
        <row r="53">
          <cell r="IO53">
            <v>606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A64">
            <v>31843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K64">
            <v>38766</v>
          </cell>
          <cell r="IL64">
            <v>68039</v>
          </cell>
          <cell r="IM64">
            <v>41100</v>
          </cell>
          <cell r="IN64">
            <v>54535</v>
          </cell>
          <cell r="IO64">
            <v>36116</v>
          </cell>
        </row>
      </sheetData>
      <sheetData sheetId="8"/>
      <sheetData sheetId="9">
        <row r="4">
          <cell r="IO4">
            <v>358</v>
          </cell>
        </row>
        <row r="5">
          <cell r="IO5">
            <v>358</v>
          </cell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A19">
            <v>574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K19">
            <v>702</v>
          </cell>
          <cell r="IL19">
            <v>679</v>
          </cell>
          <cell r="IM19">
            <v>799</v>
          </cell>
          <cell r="IN19">
            <v>721</v>
          </cell>
          <cell r="IO19">
            <v>716</v>
          </cell>
        </row>
        <row r="22">
          <cell r="IO22">
            <v>52098</v>
          </cell>
        </row>
        <row r="23">
          <cell r="IO23">
            <v>52696</v>
          </cell>
        </row>
        <row r="27">
          <cell r="IO27">
            <v>1660</v>
          </cell>
        </row>
        <row r="28">
          <cell r="IO28">
            <v>2000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A41">
            <v>89833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K41">
            <v>105531</v>
          </cell>
          <cell r="IL41">
            <v>99586</v>
          </cell>
          <cell r="IM41">
            <v>115500</v>
          </cell>
          <cell r="IN41">
            <v>101440</v>
          </cell>
          <cell r="IO41">
            <v>104794</v>
          </cell>
        </row>
        <row r="47">
          <cell r="IO47">
            <v>23522</v>
          </cell>
        </row>
        <row r="48">
          <cell r="IO48">
            <v>2656</v>
          </cell>
        </row>
        <row r="52">
          <cell r="IO52">
            <v>4724</v>
          </cell>
        </row>
        <row r="53">
          <cell r="IO53">
            <v>1979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A64">
            <v>74334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K64">
            <v>56646</v>
          </cell>
          <cell r="IL64">
            <v>29636</v>
          </cell>
          <cell r="IM64">
            <v>31014</v>
          </cell>
          <cell r="IN64">
            <v>54691</v>
          </cell>
          <cell r="IO64">
            <v>32881</v>
          </cell>
        </row>
      </sheetData>
      <sheetData sheetId="10"/>
      <sheetData sheetId="11"/>
      <sheetData sheetId="12">
        <row r="15">
          <cell r="IJ15">
            <v>3</v>
          </cell>
          <cell r="IK15">
            <v>11</v>
          </cell>
          <cell r="IL15">
            <v>14</v>
          </cell>
          <cell r="IM15">
            <v>13</v>
          </cell>
          <cell r="IN15">
            <v>3</v>
          </cell>
        </row>
        <row r="16">
          <cell r="IJ16">
            <v>3</v>
          </cell>
          <cell r="IK16">
            <v>11</v>
          </cell>
          <cell r="IL16">
            <v>14</v>
          </cell>
          <cell r="IM16">
            <v>13</v>
          </cell>
          <cell r="IN16">
            <v>3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K19">
            <v>22</v>
          </cell>
          <cell r="IL19">
            <v>28</v>
          </cell>
          <cell r="IM19">
            <v>26</v>
          </cell>
          <cell r="IN19">
            <v>6</v>
          </cell>
          <cell r="IO19">
            <v>0</v>
          </cell>
        </row>
        <row r="32">
          <cell r="IJ32">
            <v>608</v>
          </cell>
          <cell r="IK32">
            <v>2259</v>
          </cell>
          <cell r="IL32">
            <v>3092</v>
          </cell>
          <cell r="IM32">
            <v>2862</v>
          </cell>
          <cell r="IN32">
            <v>609</v>
          </cell>
        </row>
        <row r="33">
          <cell r="IJ33">
            <v>760</v>
          </cell>
          <cell r="IK33">
            <v>2746</v>
          </cell>
          <cell r="IL33">
            <v>2974</v>
          </cell>
          <cell r="IM33">
            <v>2506</v>
          </cell>
          <cell r="IN33">
            <v>588</v>
          </cell>
        </row>
        <row r="37">
          <cell r="IJ37">
            <v>2</v>
          </cell>
          <cell r="IK37">
            <v>7</v>
          </cell>
          <cell r="IL37">
            <v>13</v>
          </cell>
          <cell r="IM37">
            <v>12</v>
          </cell>
          <cell r="IN37">
            <v>1</v>
          </cell>
        </row>
        <row r="38">
          <cell r="IJ38">
            <v>1</v>
          </cell>
          <cell r="IK38">
            <v>8</v>
          </cell>
          <cell r="IL38">
            <v>7</v>
          </cell>
          <cell r="IM38">
            <v>7</v>
          </cell>
          <cell r="IN38">
            <v>5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A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K41">
            <v>5005</v>
          </cell>
          <cell r="IL41">
            <v>6066</v>
          </cell>
          <cell r="IM41">
            <v>5368</v>
          </cell>
          <cell r="IN41">
            <v>1197</v>
          </cell>
          <cell r="IO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K64">
            <v>53548</v>
          </cell>
          <cell r="IL64">
            <v>66205</v>
          </cell>
          <cell r="IM64">
            <v>95579</v>
          </cell>
          <cell r="IN64">
            <v>19628</v>
          </cell>
          <cell r="IO64">
            <v>0</v>
          </cell>
        </row>
      </sheetData>
      <sheetData sheetId="13">
        <row r="4">
          <cell r="IO4">
            <v>5977</v>
          </cell>
        </row>
        <row r="5">
          <cell r="IO5">
            <v>5967</v>
          </cell>
        </row>
        <row r="8">
          <cell r="IO8">
            <v>1</v>
          </cell>
        </row>
        <row r="9">
          <cell r="IO9">
            <v>5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  <cell r="IK15">
            <v>468</v>
          </cell>
          <cell r="IL15">
            <v>549</v>
          </cell>
          <cell r="IM15">
            <v>544</v>
          </cell>
          <cell r="IN15">
            <v>498</v>
          </cell>
          <cell r="IO15">
            <v>494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  <cell r="IK16">
            <v>470</v>
          </cell>
          <cell r="IL16">
            <v>549</v>
          </cell>
          <cell r="IM16">
            <v>547</v>
          </cell>
          <cell r="IN16">
            <v>493</v>
          </cell>
          <cell r="IO16">
            <v>495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A19">
            <v>10102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K19">
            <v>12951</v>
          </cell>
          <cell r="IL19">
            <v>13929</v>
          </cell>
          <cell r="IM19">
            <v>14011</v>
          </cell>
          <cell r="IN19">
            <v>12365</v>
          </cell>
          <cell r="IO19">
            <v>12939</v>
          </cell>
        </row>
        <row r="22">
          <cell r="IO22">
            <v>802528</v>
          </cell>
        </row>
        <row r="23">
          <cell r="IO23">
            <v>805909</v>
          </cell>
        </row>
        <row r="27">
          <cell r="IO27">
            <v>26600</v>
          </cell>
        </row>
        <row r="28">
          <cell r="IO28">
            <v>26618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  <cell r="IK32">
            <v>88732</v>
          </cell>
          <cell r="IL32">
            <v>105880</v>
          </cell>
          <cell r="IM32">
            <v>104500</v>
          </cell>
          <cell r="IN32">
            <v>89823</v>
          </cell>
          <cell r="IO32">
            <v>88564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  <cell r="IK33">
            <v>92944</v>
          </cell>
          <cell r="IL33">
            <v>96146</v>
          </cell>
          <cell r="IM33">
            <v>95139</v>
          </cell>
          <cell r="IN33">
            <v>86475</v>
          </cell>
          <cell r="IO33">
            <v>81986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  <cell r="IK37">
            <v>2189</v>
          </cell>
          <cell r="IL37">
            <v>2189</v>
          </cell>
          <cell r="IM37">
            <v>1940</v>
          </cell>
          <cell r="IN37">
            <v>2363</v>
          </cell>
          <cell r="IO37">
            <v>2216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  <cell r="IK38">
            <v>2423</v>
          </cell>
          <cell r="IL38">
            <v>2694</v>
          </cell>
          <cell r="IM38">
            <v>2355</v>
          </cell>
          <cell r="IN38">
            <v>2711</v>
          </cell>
          <cell r="IO38">
            <v>2563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A41">
            <v>1455656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K41">
            <v>1919232</v>
          </cell>
          <cell r="IL41">
            <v>2032411</v>
          </cell>
          <cell r="IM41">
            <v>1981650</v>
          </cell>
          <cell r="IN41">
            <v>1694216</v>
          </cell>
          <cell r="IO41">
            <v>1778987</v>
          </cell>
        </row>
        <row r="47">
          <cell r="IO47">
            <v>4055250</v>
          </cell>
        </row>
        <row r="48">
          <cell r="IO48">
            <v>2366630</v>
          </cell>
        </row>
        <row r="52">
          <cell r="IO52">
            <v>517998</v>
          </cell>
        </row>
        <row r="53">
          <cell r="IO53">
            <v>450241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A64">
            <v>8026189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K64">
            <v>6338566</v>
          </cell>
          <cell r="IL64">
            <v>5643547</v>
          </cell>
          <cell r="IM64">
            <v>5113897</v>
          </cell>
          <cell r="IN64">
            <v>6570987</v>
          </cell>
          <cell r="IO64">
            <v>7390119</v>
          </cell>
        </row>
        <row r="70">
          <cell r="IO70">
            <v>467550</v>
          </cell>
        </row>
        <row r="71">
          <cell r="IO71">
            <v>338359</v>
          </cell>
        </row>
        <row r="73">
          <cell r="IO73">
            <v>47564</v>
          </cell>
        </row>
        <row r="74">
          <cell r="IO74">
            <v>34422</v>
          </cell>
        </row>
      </sheetData>
      <sheetData sheetId="14">
        <row r="4">
          <cell r="IO4">
            <v>80</v>
          </cell>
        </row>
        <row r="5">
          <cell r="IO5">
            <v>80</v>
          </cell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A19">
            <v>154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K19">
            <v>156</v>
          </cell>
          <cell r="IL19">
            <v>148</v>
          </cell>
          <cell r="IM19">
            <v>162</v>
          </cell>
          <cell r="IN19">
            <v>140</v>
          </cell>
          <cell r="IO19">
            <v>160</v>
          </cell>
        </row>
        <row r="22">
          <cell r="IO22">
            <v>924</v>
          </cell>
        </row>
        <row r="23">
          <cell r="IO23">
            <v>837</v>
          </cell>
        </row>
        <row r="27">
          <cell r="IO27">
            <v>29</v>
          </cell>
        </row>
        <row r="28">
          <cell r="IO28">
            <v>32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A41">
            <v>1200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K41">
            <v>1796</v>
          </cell>
          <cell r="IL41">
            <v>1824</v>
          </cell>
          <cell r="IM41">
            <v>1838</v>
          </cell>
          <cell r="IN41">
            <v>1653</v>
          </cell>
          <cell r="IO41">
            <v>1761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15">
        <row r="4">
          <cell r="IO4">
            <v>62</v>
          </cell>
        </row>
        <row r="5">
          <cell r="IO5">
            <v>62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A19">
            <v>102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K19">
            <v>120</v>
          </cell>
          <cell r="IL19">
            <v>131</v>
          </cell>
          <cell r="IM19">
            <v>123</v>
          </cell>
          <cell r="IN19">
            <v>118</v>
          </cell>
          <cell r="IO19">
            <v>124</v>
          </cell>
        </row>
        <row r="22">
          <cell r="IO22">
            <v>10701</v>
          </cell>
        </row>
        <row r="23">
          <cell r="IO23">
            <v>10529</v>
          </cell>
        </row>
        <row r="27">
          <cell r="IO27">
            <v>51</v>
          </cell>
        </row>
        <row r="28">
          <cell r="IO28">
            <v>73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A41">
            <v>16586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K41">
            <v>19800</v>
          </cell>
          <cell r="IL41">
            <v>21690</v>
          </cell>
          <cell r="IM41">
            <v>21639</v>
          </cell>
          <cell r="IN41">
            <v>20561</v>
          </cell>
          <cell r="IO41">
            <v>21230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16">
        <row r="15">
          <cell r="IF15">
            <v>3</v>
          </cell>
          <cell r="IH15">
            <v>6</v>
          </cell>
          <cell r="II15">
            <v>19</v>
          </cell>
          <cell r="IJ15">
            <v>26</v>
          </cell>
          <cell r="IK15">
            <v>31</v>
          </cell>
          <cell r="IL15">
            <v>31</v>
          </cell>
          <cell r="IM15">
            <v>31</v>
          </cell>
          <cell r="IN15">
            <v>30</v>
          </cell>
          <cell r="IO15">
            <v>18</v>
          </cell>
        </row>
        <row r="16">
          <cell r="IF16">
            <v>3</v>
          </cell>
          <cell r="IH16">
            <v>6</v>
          </cell>
          <cell r="II16">
            <v>19</v>
          </cell>
          <cell r="IJ16">
            <v>26</v>
          </cell>
          <cell r="IK16">
            <v>31</v>
          </cell>
          <cell r="IL16">
            <v>31</v>
          </cell>
          <cell r="IM16">
            <v>31</v>
          </cell>
          <cell r="IN16">
            <v>30</v>
          </cell>
          <cell r="IO16">
            <v>18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A19">
            <v>38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K19">
            <v>62</v>
          </cell>
          <cell r="IL19">
            <v>62</v>
          </cell>
          <cell r="IM19">
            <v>62</v>
          </cell>
          <cell r="IN19">
            <v>60</v>
          </cell>
          <cell r="IO19">
            <v>36</v>
          </cell>
        </row>
        <row r="32">
          <cell r="IF32">
            <v>457</v>
          </cell>
          <cell r="IH32">
            <v>516</v>
          </cell>
          <cell r="II32">
            <v>2418</v>
          </cell>
          <cell r="IJ32">
            <v>3400</v>
          </cell>
          <cell r="IK32">
            <v>6076</v>
          </cell>
          <cell r="IL32">
            <v>6728</v>
          </cell>
          <cell r="IM32">
            <v>6099</v>
          </cell>
          <cell r="IN32">
            <v>5265</v>
          </cell>
          <cell r="IO32">
            <v>2913</v>
          </cell>
        </row>
        <row r="33">
          <cell r="IF33">
            <v>274</v>
          </cell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  <cell r="IL33">
            <v>5647</v>
          </cell>
          <cell r="IM33">
            <v>5588</v>
          </cell>
          <cell r="IN33">
            <v>5093</v>
          </cell>
          <cell r="IO33">
            <v>2376</v>
          </cell>
        </row>
        <row r="37">
          <cell r="IH37">
            <v>14</v>
          </cell>
          <cell r="II37">
            <v>27</v>
          </cell>
          <cell r="IJ37">
            <v>22</v>
          </cell>
          <cell r="IK37">
            <v>23</v>
          </cell>
          <cell r="IL37">
            <v>35</v>
          </cell>
          <cell r="IM37">
            <v>31</v>
          </cell>
          <cell r="IN37">
            <v>23</v>
          </cell>
          <cell r="IO37">
            <v>29</v>
          </cell>
        </row>
        <row r="38">
          <cell r="IF38">
            <v>10</v>
          </cell>
          <cell r="IH38">
            <v>4</v>
          </cell>
          <cell r="II38">
            <v>36</v>
          </cell>
          <cell r="IJ38">
            <v>29</v>
          </cell>
          <cell r="IK38">
            <v>20</v>
          </cell>
          <cell r="IL38">
            <v>28</v>
          </cell>
          <cell r="IM38">
            <v>28</v>
          </cell>
          <cell r="IN38">
            <v>35</v>
          </cell>
          <cell r="IO38">
            <v>28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A41">
            <v>5580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K41">
            <v>12218</v>
          </cell>
          <cell r="IL41">
            <v>12375</v>
          </cell>
          <cell r="IM41">
            <v>11687</v>
          </cell>
          <cell r="IN41">
            <v>10358</v>
          </cell>
          <cell r="IO41">
            <v>5289</v>
          </cell>
        </row>
        <row r="47">
          <cell r="IO47">
            <v>1708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A64">
            <v>3064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K64">
            <v>720</v>
          </cell>
          <cell r="IL64">
            <v>141</v>
          </cell>
          <cell r="IM64">
            <v>555</v>
          </cell>
          <cell r="IN64">
            <v>3456</v>
          </cell>
          <cell r="IO64">
            <v>1708</v>
          </cell>
        </row>
      </sheetData>
      <sheetData sheetId="17">
        <row r="4">
          <cell r="IO4">
            <v>59</v>
          </cell>
        </row>
        <row r="5">
          <cell r="IO5">
            <v>59</v>
          </cell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A19">
            <v>219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K19">
            <v>88</v>
          </cell>
          <cell r="IL19">
            <v>60</v>
          </cell>
          <cell r="IM19">
            <v>60</v>
          </cell>
          <cell r="IN19">
            <v>104</v>
          </cell>
          <cell r="IO19">
            <v>118</v>
          </cell>
        </row>
        <row r="22">
          <cell r="IO22">
            <v>6851</v>
          </cell>
        </row>
        <row r="23">
          <cell r="IO23">
            <v>6894</v>
          </cell>
        </row>
        <row r="27">
          <cell r="IO27">
            <v>138</v>
          </cell>
        </row>
        <row r="28">
          <cell r="IO28">
            <v>141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A41">
            <v>22400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K41">
            <v>11078</v>
          </cell>
          <cell r="IL41">
            <v>7570</v>
          </cell>
          <cell r="IM41">
            <v>7355</v>
          </cell>
          <cell r="IN41">
            <v>11949</v>
          </cell>
          <cell r="IO41">
            <v>13745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18"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  <cell r="IK15">
            <v>17</v>
          </cell>
          <cell r="IL15">
            <v>16</v>
          </cell>
          <cell r="IM15">
            <v>14</v>
          </cell>
          <cell r="IN15">
            <v>15</v>
          </cell>
          <cell r="IO15">
            <v>17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  <cell r="IK16">
            <v>17</v>
          </cell>
          <cell r="IL16">
            <v>16</v>
          </cell>
          <cell r="IM16">
            <v>14</v>
          </cell>
          <cell r="IN16">
            <v>15</v>
          </cell>
          <cell r="IO16">
            <v>17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A19">
            <v>36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K19">
            <v>34</v>
          </cell>
          <cell r="IL19">
            <v>32</v>
          </cell>
          <cell r="IM19">
            <v>28</v>
          </cell>
          <cell r="IN19">
            <v>30</v>
          </cell>
          <cell r="IO19">
            <v>34</v>
          </cell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  <cell r="IK32">
            <v>4618</v>
          </cell>
          <cell r="IL32">
            <v>4331</v>
          </cell>
          <cell r="IM32">
            <v>3752</v>
          </cell>
          <cell r="IN32">
            <v>3891</v>
          </cell>
          <cell r="IO32">
            <v>4379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  <cell r="IK33">
            <v>4574</v>
          </cell>
          <cell r="IL33">
            <v>3677</v>
          </cell>
          <cell r="IM33">
            <v>3356</v>
          </cell>
          <cell r="IN33">
            <v>3803</v>
          </cell>
          <cell r="IO33">
            <v>3557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  <cell r="IK37">
            <v>22</v>
          </cell>
          <cell r="IL37">
            <v>8</v>
          </cell>
          <cell r="IM37">
            <v>13</v>
          </cell>
          <cell r="IN37">
            <v>7</v>
          </cell>
          <cell r="IO37">
            <v>15</v>
          </cell>
        </row>
        <row r="38">
          <cell r="IF38">
            <v>3</v>
          </cell>
          <cell r="II38">
            <v>0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A41">
            <v>7225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K41">
            <v>9192</v>
          </cell>
          <cell r="IL41">
            <v>8008</v>
          </cell>
          <cell r="IM41">
            <v>7108</v>
          </cell>
          <cell r="IN41">
            <v>7694</v>
          </cell>
          <cell r="IO41">
            <v>7936</v>
          </cell>
        </row>
        <row r="47">
          <cell r="IO47">
            <v>423600</v>
          </cell>
        </row>
        <row r="52">
          <cell r="IO52">
            <v>40849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A64">
            <v>614200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K64">
            <v>300400</v>
          </cell>
          <cell r="IL64">
            <v>347339</v>
          </cell>
          <cell r="IM64">
            <v>241651</v>
          </cell>
          <cell r="IN64">
            <v>366042</v>
          </cell>
          <cell r="IO64">
            <v>464449</v>
          </cell>
        </row>
      </sheetData>
      <sheetData sheetId="19"/>
      <sheetData sheetId="20"/>
      <sheetData sheetId="21"/>
      <sheetData sheetId="22">
        <row r="4">
          <cell r="IO4">
            <v>728</v>
          </cell>
        </row>
        <row r="5">
          <cell r="IO5">
            <v>725</v>
          </cell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A19">
            <v>952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K19">
            <v>1216</v>
          </cell>
          <cell r="IL19">
            <v>1355</v>
          </cell>
          <cell r="IM19">
            <v>1384</v>
          </cell>
          <cell r="IN19">
            <v>1279</v>
          </cell>
          <cell r="IO19">
            <v>1453</v>
          </cell>
        </row>
        <row r="22">
          <cell r="IO22">
            <v>83135</v>
          </cell>
        </row>
        <row r="23">
          <cell r="IO23">
            <v>86474</v>
          </cell>
        </row>
        <row r="27">
          <cell r="IO27">
            <v>1623</v>
          </cell>
        </row>
        <row r="28">
          <cell r="IO28">
            <v>1727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A41">
            <v>130176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K41">
            <v>157583</v>
          </cell>
          <cell r="IL41">
            <v>164784</v>
          </cell>
          <cell r="IM41">
            <v>166154</v>
          </cell>
          <cell r="IN41">
            <v>154019</v>
          </cell>
          <cell r="IO41">
            <v>169609</v>
          </cell>
        </row>
        <row r="47">
          <cell r="IO47">
            <v>195140</v>
          </cell>
        </row>
        <row r="52">
          <cell r="IO52">
            <v>51493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A64">
            <v>239208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K64">
            <v>235648</v>
          </cell>
          <cell r="IL64">
            <v>214190</v>
          </cell>
          <cell r="IM64">
            <v>232279</v>
          </cell>
          <cell r="IN64">
            <v>250562</v>
          </cell>
          <cell r="IO64">
            <v>246633</v>
          </cell>
        </row>
        <row r="70">
          <cell r="IO70">
            <v>86004</v>
          </cell>
        </row>
        <row r="71">
          <cell r="IO71">
            <v>470</v>
          </cell>
        </row>
      </sheetData>
      <sheetData sheetId="23">
        <row r="4">
          <cell r="IO4">
            <v>120</v>
          </cell>
        </row>
        <row r="5">
          <cell r="IO5">
            <v>120</v>
          </cell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A19">
            <v>184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K19">
            <v>238</v>
          </cell>
          <cell r="IL19">
            <v>218</v>
          </cell>
          <cell r="IM19">
            <v>206</v>
          </cell>
          <cell r="IN19">
            <v>220</v>
          </cell>
          <cell r="IO19">
            <v>240</v>
          </cell>
        </row>
        <row r="22">
          <cell r="IO22">
            <v>17213</v>
          </cell>
        </row>
        <row r="23">
          <cell r="IO23">
            <v>17465</v>
          </cell>
        </row>
        <row r="27">
          <cell r="IO27">
            <v>110</v>
          </cell>
        </row>
        <row r="28">
          <cell r="IO28">
            <v>143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A41">
            <v>28360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K41">
            <v>33337</v>
          </cell>
          <cell r="IL41">
            <v>31755</v>
          </cell>
          <cell r="IM41">
            <v>33094</v>
          </cell>
          <cell r="IN41">
            <v>31439</v>
          </cell>
          <cell r="IO41">
            <v>34678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24">
        <row r="4">
          <cell r="IO4">
            <v>962</v>
          </cell>
        </row>
        <row r="5">
          <cell r="IO5">
            <v>949</v>
          </cell>
        </row>
        <row r="8">
          <cell r="IO8">
            <v>100</v>
          </cell>
        </row>
        <row r="9">
          <cell r="IO9">
            <v>95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  <cell r="IK15">
            <v>18</v>
          </cell>
          <cell r="IL15">
            <v>20</v>
          </cell>
          <cell r="IM15">
            <v>17</v>
          </cell>
          <cell r="IN15">
            <v>8</v>
          </cell>
          <cell r="IO15">
            <v>17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  <cell r="IK16">
            <v>17</v>
          </cell>
          <cell r="IL16">
            <v>9</v>
          </cell>
          <cell r="IM16">
            <v>19</v>
          </cell>
          <cell r="IN16">
            <v>7</v>
          </cell>
          <cell r="IO16">
            <v>17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A19">
            <v>1745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K19">
            <v>2285</v>
          </cell>
          <cell r="IL19">
            <v>2477</v>
          </cell>
          <cell r="IM19">
            <v>2282</v>
          </cell>
          <cell r="IN19">
            <v>1710</v>
          </cell>
          <cell r="IO19">
            <v>2140</v>
          </cell>
        </row>
        <row r="22">
          <cell r="IO22">
            <v>150304</v>
          </cell>
        </row>
        <row r="23">
          <cell r="IO23">
            <v>151744</v>
          </cell>
        </row>
        <row r="27">
          <cell r="IO27">
            <v>2603</v>
          </cell>
        </row>
        <row r="28">
          <cell r="IO28">
            <v>2635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  <cell r="IK32">
            <v>2427</v>
          </cell>
          <cell r="IL32">
            <v>2321</v>
          </cell>
          <cell r="IM32">
            <v>2704</v>
          </cell>
          <cell r="IN32">
            <v>813</v>
          </cell>
          <cell r="IO32">
            <v>2113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  <cell r="IL33">
            <v>2408</v>
          </cell>
          <cell r="IM33">
            <v>2729</v>
          </cell>
          <cell r="IN33">
            <v>736</v>
          </cell>
          <cell r="IO33">
            <v>2282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  <cell r="IK37">
            <v>36</v>
          </cell>
          <cell r="IL37">
            <v>37</v>
          </cell>
          <cell r="IM37">
            <v>36</v>
          </cell>
          <cell r="IN37">
            <v>16</v>
          </cell>
          <cell r="IO37">
            <v>48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  <cell r="IL38">
            <v>29</v>
          </cell>
          <cell r="IM38">
            <v>46</v>
          </cell>
          <cell r="IN38">
            <v>20</v>
          </cell>
          <cell r="IO38">
            <v>61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A41">
            <v>244371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K41">
            <v>347019</v>
          </cell>
          <cell r="IL41">
            <v>395277</v>
          </cell>
          <cell r="IM41">
            <v>347495</v>
          </cell>
          <cell r="IN41">
            <v>236220</v>
          </cell>
          <cell r="IO41">
            <v>306443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A64">
            <v>104521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  <row r="70">
          <cell r="IO70">
            <v>151744</v>
          </cell>
        </row>
        <row r="73">
          <cell r="IO73">
            <v>2282</v>
          </cell>
        </row>
      </sheetData>
      <sheetData sheetId="25"/>
      <sheetData sheetId="26"/>
      <sheetData sheetId="27">
        <row r="4">
          <cell r="IO4">
            <v>519</v>
          </cell>
        </row>
        <row r="5">
          <cell r="IO5">
            <v>520</v>
          </cell>
        </row>
        <row r="8">
          <cell r="IO8">
            <v>2</v>
          </cell>
        </row>
        <row r="9">
          <cell r="IO9">
            <v>2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A19">
            <v>908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K19">
            <v>878</v>
          </cell>
          <cell r="IL19">
            <v>957</v>
          </cell>
          <cell r="IM19">
            <v>1020</v>
          </cell>
          <cell r="IN19">
            <v>1020</v>
          </cell>
          <cell r="IO19">
            <v>1043</v>
          </cell>
        </row>
        <row r="22">
          <cell r="IO22">
            <v>66630</v>
          </cell>
        </row>
        <row r="23">
          <cell r="IO23">
            <v>66454</v>
          </cell>
        </row>
        <row r="27">
          <cell r="IO27">
            <v>2446</v>
          </cell>
        </row>
        <row r="28">
          <cell r="IO28">
            <v>2581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A41">
            <v>124778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K41">
            <v>121535</v>
          </cell>
          <cell r="IL41">
            <v>136735</v>
          </cell>
          <cell r="IM41">
            <v>143865</v>
          </cell>
          <cell r="IN41">
            <v>136067</v>
          </cell>
          <cell r="IO41">
            <v>133084</v>
          </cell>
        </row>
        <row r="47">
          <cell r="IO47">
            <v>91098</v>
          </cell>
        </row>
        <row r="52">
          <cell r="IO52">
            <v>70174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A64">
            <v>103938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K64">
            <v>100532</v>
          </cell>
          <cell r="IL64">
            <v>100084</v>
          </cell>
          <cell r="IM64">
            <v>85223</v>
          </cell>
          <cell r="IN64">
            <v>53850</v>
          </cell>
          <cell r="IO64">
            <v>161272</v>
          </cell>
        </row>
      </sheetData>
      <sheetData sheetId="28">
        <row r="15">
          <cell r="IO15">
            <v>35</v>
          </cell>
        </row>
        <row r="16">
          <cell r="IO16">
            <v>35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50</v>
          </cell>
          <cell r="IL19">
            <v>68</v>
          </cell>
          <cell r="IM19">
            <v>72</v>
          </cell>
          <cell r="IN19">
            <v>68</v>
          </cell>
          <cell r="IO19">
            <v>70</v>
          </cell>
        </row>
        <row r="32">
          <cell r="IO32">
            <v>1440</v>
          </cell>
        </row>
        <row r="33">
          <cell r="IO33">
            <v>4740</v>
          </cell>
        </row>
        <row r="38">
          <cell r="IO38">
            <v>1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6280</v>
          </cell>
          <cell r="IL41">
            <v>8938</v>
          </cell>
          <cell r="IM41">
            <v>9295</v>
          </cell>
          <cell r="IN41">
            <v>7626</v>
          </cell>
          <cell r="IO41">
            <v>6180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30">
        <row r="4">
          <cell r="IO4">
            <v>27</v>
          </cell>
        </row>
        <row r="5">
          <cell r="IO5">
            <v>27</v>
          </cell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A19">
            <v>120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K19">
            <v>64</v>
          </cell>
          <cell r="IL19">
            <v>167</v>
          </cell>
          <cell r="IM19">
            <v>93</v>
          </cell>
          <cell r="IN19">
            <v>60</v>
          </cell>
          <cell r="IO19">
            <v>54</v>
          </cell>
        </row>
        <row r="22">
          <cell r="IO22">
            <v>1872</v>
          </cell>
        </row>
        <row r="23">
          <cell r="IO23">
            <v>1947</v>
          </cell>
        </row>
        <row r="27">
          <cell r="IO27">
            <v>36</v>
          </cell>
        </row>
        <row r="28">
          <cell r="IO28">
            <v>26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A41">
            <v>7436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K41">
            <v>4565</v>
          </cell>
          <cell r="IL41">
            <v>10513</v>
          </cell>
          <cell r="IM41">
            <v>6217</v>
          </cell>
          <cell r="IN41">
            <v>3966</v>
          </cell>
          <cell r="IO41">
            <v>3819</v>
          </cell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A64">
            <v>957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K64">
            <v>0</v>
          </cell>
          <cell r="IL64">
            <v>1580</v>
          </cell>
          <cell r="IM64">
            <v>831</v>
          </cell>
          <cell r="IN64">
            <v>0</v>
          </cell>
          <cell r="IO64">
            <v>0</v>
          </cell>
        </row>
      </sheetData>
      <sheetData sheetId="31">
        <row r="4">
          <cell r="IO4">
            <v>70</v>
          </cell>
        </row>
        <row r="5">
          <cell r="IO5">
            <v>70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A19">
            <v>0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K19">
            <v>176</v>
          </cell>
          <cell r="IL19">
            <v>164</v>
          </cell>
          <cell r="IM19">
            <v>172</v>
          </cell>
          <cell r="IN19">
            <v>156</v>
          </cell>
          <cell r="IO19">
            <v>140</v>
          </cell>
        </row>
        <row r="22">
          <cell r="IO22">
            <v>3260</v>
          </cell>
        </row>
        <row r="23">
          <cell r="IO23">
            <v>3134</v>
          </cell>
        </row>
        <row r="27">
          <cell r="IO27">
            <v>100</v>
          </cell>
        </row>
        <row r="28">
          <cell r="IO28">
            <v>94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A41">
            <v>0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K41">
            <v>8058</v>
          </cell>
          <cell r="IL41">
            <v>7274</v>
          </cell>
          <cell r="IM41">
            <v>8063</v>
          </cell>
          <cell r="IN41">
            <v>7089</v>
          </cell>
          <cell r="IO41">
            <v>6394</v>
          </cell>
        </row>
        <row r="47">
          <cell r="IO47">
            <v>1743</v>
          </cell>
        </row>
        <row r="52">
          <cell r="IO52">
            <v>320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50</v>
          </cell>
          <cell r="IN64">
            <v>1344</v>
          </cell>
          <cell r="IO64">
            <v>2063</v>
          </cell>
        </row>
      </sheetData>
      <sheetData sheetId="32"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33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A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43">
        <row r="4">
          <cell r="IO4">
            <v>3</v>
          </cell>
        </row>
        <row r="5">
          <cell r="IO5">
            <v>3</v>
          </cell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A19">
            <v>6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K19">
            <v>0</v>
          </cell>
          <cell r="IL19">
            <v>6</v>
          </cell>
          <cell r="IM19">
            <v>4</v>
          </cell>
          <cell r="IN19">
            <v>4</v>
          </cell>
          <cell r="IO19">
            <v>6</v>
          </cell>
        </row>
        <row r="22">
          <cell r="IO22">
            <v>197</v>
          </cell>
        </row>
        <row r="23">
          <cell r="IO23">
            <v>225</v>
          </cell>
        </row>
        <row r="27">
          <cell r="IO27">
            <v>9</v>
          </cell>
        </row>
        <row r="28">
          <cell r="IO28">
            <v>3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A41">
            <v>412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K41">
            <v>0</v>
          </cell>
          <cell r="IL41">
            <v>147</v>
          </cell>
          <cell r="IM41">
            <v>0</v>
          </cell>
          <cell r="IN41">
            <v>287</v>
          </cell>
          <cell r="IO41">
            <v>422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44"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  <cell r="IK15">
            <v>108</v>
          </cell>
          <cell r="IL15">
            <v>110</v>
          </cell>
          <cell r="IM15">
            <v>118</v>
          </cell>
          <cell r="IN15">
            <v>118</v>
          </cell>
          <cell r="IO15">
            <v>125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  <cell r="IK16">
            <v>108</v>
          </cell>
          <cell r="IL16">
            <v>109</v>
          </cell>
          <cell r="IM16">
            <v>118</v>
          </cell>
          <cell r="IN16">
            <v>120</v>
          </cell>
          <cell r="IO16">
            <v>125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A19">
            <v>224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K19">
            <v>216</v>
          </cell>
          <cell r="IL19">
            <v>219</v>
          </cell>
          <cell r="IM19">
            <v>236</v>
          </cell>
          <cell r="IN19">
            <v>238</v>
          </cell>
          <cell r="IO19">
            <v>250</v>
          </cell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  <cell r="IK32">
            <v>7907</v>
          </cell>
          <cell r="IL32">
            <v>7819</v>
          </cell>
          <cell r="IM32">
            <v>7802</v>
          </cell>
          <cell r="IN32">
            <v>6775</v>
          </cell>
          <cell r="IO32">
            <v>7472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  <cell r="IL33">
            <v>6724</v>
          </cell>
          <cell r="IM33">
            <v>7285</v>
          </cell>
          <cell r="IN33">
            <v>7041</v>
          </cell>
          <cell r="IO33">
            <v>6307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  <cell r="IK37">
            <v>80</v>
          </cell>
          <cell r="IL37">
            <v>66</v>
          </cell>
          <cell r="IM37">
            <v>86</v>
          </cell>
          <cell r="IN37">
            <v>90</v>
          </cell>
          <cell r="IO37">
            <v>124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  <cell r="IL38">
            <v>88</v>
          </cell>
          <cell r="IM38">
            <v>105</v>
          </cell>
          <cell r="IN38">
            <v>97</v>
          </cell>
          <cell r="IO38">
            <v>139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A41">
            <v>11937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K41">
            <v>17043</v>
          </cell>
          <cell r="IL41">
            <v>14543</v>
          </cell>
          <cell r="IM41">
            <v>15087</v>
          </cell>
          <cell r="IN41">
            <v>13816</v>
          </cell>
          <cell r="IO41">
            <v>13779</v>
          </cell>
        </row>
        <row r="47">
          <cell r="IO47">
            <v>26606.6</v>
          </cell>
        </row>
        <row r="52">
          <cell r="IO52">
            <v>2273.9</v>
          </cell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A64">
            <v>500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K64">
            <v>65592.3</v>
          </cell>
          <cell r="IL64">
            <v>88269.5</v>
          </cell>
          <cell r="IM64">
            <v>72208.299999999988</v>
          </cell>
          <cell r="IN64">
            <v>16914.5</v>
          </cell>
          <cell r="IO64">
            <v>28880.5</v>
          </cell>
        </row>
      </sheetData>
      <sheetData sheetId="45">
        <row r="4">
          <cell r="IO4">
            <v>65</v>
          </cell>
        </row>
        <row r="5">
          <cell r="IO5">
            <v>65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A19">
            <v>126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K19">
            <v>183</v>
          </cell>
          <cell r="IL19">
            <v>149</v>
          </cell>
          <cell r="IM19">
            <v>167</v>
          </cell>
          <cell r="IN19">
            <v>141</v>
          </cell>
          <cell r="IO19">
            <v>130</v>
          </cell>
        </row>
        <row r="22">
          <cell r="IO22">
            <v>4237</v>
          </cell>
        </row>
        <row r="23">
          <cell r="IO23">
            <v>4215</v>
          </cell>
        </row>
        <row r="27">
          <cell r="IO27">
            <v>119</v>
          </cell>
        </row>
        <row r="28">
          <cell r="IO28">
            <v>162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A41">
            <v>8591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K41">
            <v>12045</v>
          </cell>
          <cell r="IL41">
            <v>9854</v>
          </cell>
          <cell r="IM41">
            <v>10607</v>
          </cell>
          <cell r="IN41">
            <v>9180</v>
          </cell>
          <cell r="IO41">
            <v>8452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46"/>
      <sheetData sheetId="47"/>
      <sheetData sheetId="48">
        <row r="4">
          <cell r="IO4">
            <v>587</v>
          </cell>
        </row>
        <row r="5">
          <cell r="IO5">
            <v>590</v>
          </cell>
        </row>
        <row r="8">
          <cell r="IO8">
            <v>0</v>
          </cell>
        </row>
        <row r="9">
          <cell r="IO9">
            <v>1</v>
          </cell>
        </row>
        <row r="15">
          <cell r="IF15">
            <v>1</v>
          </cell>
          <cell r="IH15">
            <v>23</v>
          </cell>
          <cell r="II15">
            <v>9</v>
          </cell>
          <cell r="IK15">
            <v>16</v>
          </cell>
          <cell r="IL15">
            <v>3</v>
          </cell>
          <cell r="IN15">
            <v>76</v>
          </cell>
          <cell r="IO15">
            <v>86</v>
          </cell>
        </row>
        <row r="16">
          <cell r="IF16">
            <v>1</v>
          </cell>
          <cell r="IH16">
            <v>23</v>
          </cell>
          <cell r="II16">
            <v>10</v>
          </cell>
          <cell r="IK16">
            <v>15</v>
          </cell>
          <cell r="IL16">
            <v>3</v>
          </cell>
          <cell r="IN16">
            <v>77</v>
          </cell>
          <cell r="IO16">
            <v>86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A19">
            <v>1434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K19">
            <v>1393</v>
          </cell>
          <cell r="IL19">
            <v>1560</v>
          </cell>
          <cell r="IM19">
            <v>1483</v>
          </cell>
          <cell r="IN19">
            <v>1183</v>
          </cell>
          <cell r="IO19">
            <v>1350</v>
          </cell>
        </row>
        <row r="22">
          <cell r="IO22">
            <v>7527</v>
          </cell>
        </row>
        <row r="23">
          <cell r="IO23">
            <v>38075</v>
          </cell>
        </row>
        <row r="27">
          <cell r="IO27">
            <v>1115</v>
          </cell>
        </row>
        <row r="28">
          <cell r="IO28">
            <v>1117</v>
          </cell>
        </row>
        <row r="32">
          <cell r="IH32">
            <v>1240</v>
          </cell>
          <cell r="II32">
            <v>622</v>
          </cell>
          <cell r="IK32">
            <v>1081</v>
          </cell>
          <cell r="IL32">
            <v>199</v>
          </cell>
          <cell r="IN32">
            <v>4231</v>
          </cell>
          <cell r="IO32">
            <v>5350</v>
          </cell>
        </row>
        <row r="33">
          <cell r="IH33">
            <v>1517</v>
          </cell>
          <cell r="II33">
            <v>473</v>
          </cell>
          <cell r="IK33">
            <v>1027</v>
          </cell>
          <cell r="IL33">
            <v>178</v>
          </cell>
          <cell r="IN33">
            <v>5269</v>
          </cell>
          <cell r="IO33">
            <v>5520</v>
          </cell>
        </row>
        <row r="37">
          <cell r="IH37">
            <v>20</v>
          </cell>
          <cell r="II37">
            <v>4</v>
          </cell>
          <cell r="IK37">
            <v>11</v>
          </cell>
          <cell r="IL37">
            <v>4</v>
          </cell>
          <cell r="IN37">
            <v>94</v>
          </cell>
          <cell r="IO37">
            <v>145</v>
          </cell>
        </row>
        <row r="38">
          <cell r="IH38">
            <v>25</v>
          </cell>
          <cell r="II38">
            <v>5</v>
          </cell>
          <cell r="IK38">
            <v>9</v>
          </cell>
          <cell r="IL38">
            <v>0</v>
          </cell>
          <cell r="IN38">
            <v>121</v>
          </cell>
          <cell r="IO38">
            <v>132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A41">
            <v>74427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K41">
            <v>93560</v>
          </cell>
          <cell r="IL41">
            <v>104244</v>
          </cell>
          <cell r="IM41">
            <v>99657</v>
          </cell>
          <cell r="IN41">
            <v>75387</v>
          </cell>
          <cell r="IO41">
            <v>56472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  <row r="70">
          <cell r="IO70">
            <v>13422</v>
          </cell>
        </row>
        <row r="71">
          <cell r="IO71">
            <v>24653</v>
          </cell>
        </row>
        <row r="73">
          <cell r="IO73">
            <v>1946</v>
          </cell>
        </row>
        <row r="74">
          <cell r="IO74">
            <v>3574</v>
          </cell>
        </row>
      </sheetData>
      <sheetData sheetId="49">
        <row r="4">
          <cell r="IO4">
            <v>62</v>
          </cell>
        </row>
        <row r="5">
          <cell r="IO5">
            <v>62</v>
          </cell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A19">
            <v>80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K19">
            <v>56</v>
          </cell>
          <cell r="IL19">
            <v>58</v>
          </cell>
          <cell r="IM19">
            <v>64</v>
          </cell>
          <cell r="IN19">
            <v>104</v>
          </cell>
          <cell r="IO19">
            <v>124</v>
          </cell>
        </row>
        <row r="22">
          <cell r="IO22">
            <v>4202</v>
          </cell>
        </row>
        <row r="23">
          <cell r="IO23">
            <v>4193</v>
          </cell>
        </row>
        <row r="27">
          <cell r="IO27">
            <v>70</v>
          </cell>
        </row>
        <row r="28">
          <cell r="IO28">
            <v>85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A41">
            <v>4972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K41">
            <v>3749</v>
          </cell>
          <cell r="IL41">
            <v>3855</v>
          </cell>
          <cell r="IM41">
            <v>4341</v>
          </cell>
          <cell r="IN41">
            <v>6144</v>
          </cell>
          <cell r="IO41">
            <v>8395</v>
          </cell>
        </row>
        <row r="47">
          <cell r="IO47">
            <v>194</v>
          </cell>
        </row>
        <row r="52">
          <cell r="IO52">
            <v>60</v>
          </cell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A64">
            <v>0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177</v>
          </cell>
          <cell r="IO64">
            <v>254</v>
          </cell>
        </row>
      </sheetData>
      <sheetData sheetId="50">
        <row r="4">
          <cell r="IO4">
            <v>60</v>
          </cell>
        </row>
        <row r="5">
          <cell r="IO5">
            <v>60</v>
          </cell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A19">
            <v>226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K19">
            <v>100</v>
          </cell>
          <cell r="IL19">
            <v>147</v>
          </cell>
          <cell r="IM19">
            <v>117</v>
          </cell>
          <cell r="IN19">
            <v>96</v>
          </cell>
          <cell r="IO19">
            <v>120</v>
          </cell>
        </row>
        <row r="22">
          <cell r="IO22">
            <v>3490</v>
          </cell>
        </row>
        <row r="23">
          <cell r="IO23">
            <v>4042</v>
          </cell>
        </row>
        <row r="27">
          <cell r="IO27">
            <v>101</v>
          </cell>
        </row>
        <row r="28">
          <cell r="IO28">
            <v>97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A41">
            <v>14594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K41">
            <v>6676</v>
          </cell>
          <cell r="IL41">
            <v>9043</v>
          </cell>
          <cell r="IM41">
            <v>7713</v>
          </cell>
          <cell r="IN41">
            <v>5898</v>
          </cell>
          <cell r="IO41">
            <v>7532</v>
          </cell>
        </row>
        <row r="47">
          <cell r="IO47">
            <v>2028</v>
          </cell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A64">
            <v>114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K64">
            <v>649</v>
          </cell>
          <cell r="IL64">
            <v>471</v>
          </cell>
          <cell r="IM64">
            <v>983</v>
          </cell>
          <cell r="IN64">
            <v>1064</v>
          </cell>
          <cell r="IO64">
            <v>2028</v>
          </cell>
        </row>
      </sheetData>
      <sheetData sheetId="51">
        <row r="4">
          <cell r="IO4">
            <v>11</v>
          </cell>
        </row>
        <row r="5">
          <cell r="IO5">
            <v>10</v>
          </cell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A19">
            <v>10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K19">
            <v>4</v>
          </cell>
          <cell r="IL19">
            <v>2</v>
          </cell>
          <cell r="IM19">
            <v>2</v>
          </cell>
          <cell r="IN19">
            <v>0</v>
          </cell>
          <cell r="IO19">
            <v>21</v>
          </cell>
        </row>
        <row r="22">
          <cell r="IO22">
            <v>634</v>
          </cell>
        </row>
        <row r="23">
          <cell r="IO23">
            <v>517</v>
          </cell>
        </row>
        <row r="27">
          <cell r="IO27">
            <v>40</v>
          </cell>
        </row>
        <row r="28">
          <cell r="IO28">
            <v>32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A41">
            <v>626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K41">
            <v>268</v>
          </cell>
          <cell r="IL41">
            <v>135</v>
          </cell>
          <cell r="IM41">
            <v>139</v>
          </cell>
          <cell r="IN41">
            <v>0</v>
          </cell>
          <cell r="IO41">
            <v>1151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52"/>
      <sheetData sheetId="53">
        <row r="4">
          <cell r="IO4">
            <v>2039</v>
          </cell>
        </row>
        <row r="5">
          <cell r="IO5">
            <v>2036</v>
          </cell>
        </row>
        <row r="9">
          <cell r="IO9">
            <v>1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  <cell r="IK15">
            <v>90</v>
          </cell>
          <cell r="IL15">
            <v>83</v>
          </cell>
          <cell r="IM15">
            <v>94</v>
          </cell>
          <cell r="IN15">
            <v>10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  <cell r="IK16">
            <v>90</v>
          </cell>
          <cell r="IL16">
            <v>83</v>
          </cell>
          <cell r="IM16">
            <v>92</v>
          </cell>
          <cell r="IN16">
            <v>9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A19">
            <v>5280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K19">
            <v>3897</v>
          </cell>
          <cell r="IL19">
            <v>3985</v>
          </cell>
          <cell r="IM19">
            <v>4223</v>
          </cell>
          <cell r="IN19">
            <v>4244</v>
          </cell>
          <cell r="IO19">
            <v>4076</v>
          </cell>
        </row>
        <row r="22">
          <cell r="IO22">
            <v>97018</v>
          </cell>
        </row>
        <row r="23">
          <cell r="IO23">
            <v>95671</v>
          </cell>
        </row>
        <row r="27">
          <cell r="IO27">
            <v>3024</v>
          </cell>
        </row>
        <row r="28">
          <cell r="IO28">
            <v>3019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  <cell r="IK32">
            <v>5810</v>
          </cell>
          <cell r="IL32">
            <v>6014</v>
          </cell>
          <cell r="IM32">
            <v>6264</v>
          </cell>
          <cell r="IN32">
            <v>450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  <cell r="IK33">
            <v>6495</v>
          </cell>
          <cell r="IL33">
            <v>5605</v>
          </cell>
          <cell r="IM33">
            <v>6445</v>
          </cell>
          <cell r="IN33">
            <v>590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  <cell r="IK37">
            <v>98</v>
          </cell>
          <cell r="IL37">
            <v>129</v>
          </cell>
          <cell r="IM37">
            <v>97</v>
          </cell>
          <cell r="IN37">
            <v>21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  <cell r="IK38">
            <v>88</v>
          </cell>
          <cell r="IL38">
            <v>135</v>
          </cell>
          <cell r="IM38">
            <v>103</v>
          </cell>
          <cell r="IN38">
            <v>15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A41">
            <v>319317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K41">
            <v>240608</v>
          </cell>
          <cell r="IL41">
            <v>201137</v>
          </cell>
          <cell r="IM41">
            <v>212434</v>
          </cell>
          <cell r="IN41">
            <v>211265</v>
          </cell>
          <cell r="IO41">
            <v>192689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  <row r="70">
          <cell r="IO70">
            <v>30369</v>
          </cell>
        </row>
        <row r="71">
          <cell r="IO71">
            <v>65302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A19">
            <v>6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A41">
            <v>345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5">
          <cell r="IG15">
            <v>2</v>
          </cell>
          <cell r="IK15">
            <v>1</v>
          </cell>
        </row>
        <row r="16">
          <cell r="IG16">
            <v>2</v>
          </cell>
        </row>
        <row r="32">
          <cell r="IG32">
            <v>216</v>
          </cell>
          <cell r="IJ32">
            <v>551</v>
          </cell>
          <cell r="IK32">
            <v>444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  <cell r="IH15">
            <v>1</v>
          </cell>
          <cell r="IL15">
            <v>2</v>
          </cell>
        </row>
        <row r="16">
          <cell r="IL16">
            <v>1</v>
          </cell>
        </row>
        <row r="32">
          <cell r="IF32">
            <v>65</v>
          </cell>
          <cell r="IG32">
            <v>55</v>
          </cell>
          <cell r="IL32">
            <v>250</v>
          </cell>
        </row>
        <row r="33">
          <cell r="IL33">
            <v>160</v>
          </cell>
        </row>
      </sheetData>
      <sheetData sheetId="67">
        <row r="4">
          <cell r="IO4">
            <v>2</v>
          </cell>
        </row>
        <row r="5">
          <cell r="IO5">
            <v>2</v>
          </cell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HZ19">
            <v>60</v>
          </cell>
          <cell r="IA19">
            <v>64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  <cell r="IK19">
            <v>18</v>
          </cell>
          <cell r="IL19">
            <v>4</v>
          </cell>
          <cell r="IM19">
            <v>2</v>
          </cell>
          <cell r="IN19">
            <v>2</v>
          </cell>
          <cell r="IO19">
            <v>4</v>
          </cell>
        </row>
        <row r="47">
          <cell r="IO47">
            <v>34965</v>
          </cell>
        </row>
        <row r="52">
          <cell r="IO52">
            <v>75</v>
          </cell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HZ64">
            <v>3881354</v>
          </cell>
          <cell r="IA64">
            <v>4203543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  <cell r="IK64">
            <v>941697</v>
          </cell>
          <cell r="IL64">
            <v>105917</v>
          </cell>
          <cell r="IM64">
            <v>35040</v>
          </cell>
          <cell r="IN64">
            <v>40044</v>
          </cell>
          <cell r="IO64">
            <v>35040</v>
          </cell>
        </row>
      </sheetData>
      <sheetData sheetId="68">
        <row r="4">
          <cell r="IO4">
            <v>120</v>
          </cell>
        </row>
        <row r="5">
          <cell r="IO5">
            <v>120</v>
          </cell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HZ19">
            <v>64</v>
          </cell>
          <cell r="IA19">
            <v>65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  <cell r="IK19">
            <v>128</v>
          </cell>
          <cell r="IL19">
            <v>180</v>
          </cell>
          <cell r="IM19">
            <v>184</v>
          </cell>
          <cell r="IN19">
            <v>199</v>
          </cell>
          <cell r="IO19">
            <v>240</v>
          </cell>
        </row>
        <row r="47">
          <cell r="IO47">
            <v>3170629</v>
          </cell>
        </row>
        <row r="52">
          <cell r="IO52">
            <v>3139643</v>
          </cell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HZ64">
            <v>1946685</v>
          </cell>
          <cell r="IA64">
            <v>1386834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  <cell r="IK64">
            <v>3229850</v>
          </cell>
          <cell r="IL64">
            <v>4631782</v>
          </cell>
          <cell r="IM64">
            <v>5008791</v>
          </cell>
          <cell r="IN64">
            <v>5553427</v>
          </cell>
          <cell r="IO64">
            <v>6310272</v>
          </cell>
        </row>
      </sheetData>
      <sheetData sheetId="69">
        <row r="4">
          <cell r="IO4">
            <v>4</v>
          </cell>
        </row>
        <row r="5">
          <cell r="IO5">
            <v>4</v>
          </cell>
        </row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  <cell r="IK19">
            <v>0</v>
          </cell>
          <cell r="IL19">
            <v>4</v>
          </cell>
          <cell r="IM19">
            <v>2</v>
          </cell>
          <cell r="IN19">
            <v>8</v>
          </cell>
          <cell r="IO19">
            <v>8</v>
          </cell>
        </row>
        <row r="47">
          <cell r="IO47">
            <v>170910</v>
          </cell>
        </row>
        <row r="52">
          <cell r="IO52">
            <v>203526</v>
          </cell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  <cell r="IK64">
            <v>0</v>
          </cell>
          <cell r="IL64">
            <v>96070</v>
          </cell>
          <cell r="IM64">
            <v>73989</v>
          </cell>
          <cell r="IN64">
            <v>252835</v>
          </cell>
          <cell r="IO64">
            <v>374436</v>
          </cell>
        </row>
      </sheetData>
      <sheetData sheetId="70">
        <row r="4">
          <cell r="IO4">
            <v>1</v>
          </cell>
        </row>
        <row r="5">
          <cell r="IO5">
            <v>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  <cell r="IK19">
            <v>0</v>
          </cell>
          <cell r="IL19">
            <v>6</v>
          </cell>
          <cell r="IM19">
            <v>0</v>
          </cell>
          <cell r="IN19">
            <v>2</v>
          </cell>
          <cell r="IO19">
            <v>2</v>
          </cell>
        </row>
        <row r="47">
          <cell r="IO47">
            <v>46438</v>
          </cell>
        </row>
        <row r="52">
          <cell r="IO52">
            <v>27068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  <cell r="IK64">
            <v>0</v>
          </cell>
          <cell r="IL64">
            <v>194908</v>
          </cell>
          <cell r="IM64">
            <v>0</v>
          </cell>
          <cell r="IN64">
            <v>70279</v>
          </cell>
          <cell r="IO64">
            <v>73506</v>
          </cell>
        </row>
      </sheetData>
      <sheetData sheetId="7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7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  <cell r="IK19">
            <v>0</v>
          </cell>
          <cell r="IL19">
            <v>4</v>
          </cell>
          <cell r="IM19">
            <v>0</v>
          </cell>
          <cell r="IN19">
            <v>0</v>
          </cell>
          <cell r="IO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  <cell r="IK64">
            <v>0</v>
          </cell>
          <cell r="IL64">
            <v>125951</v>
          </cell>
          <cell r="IM64">
            <v>0</v>
          </cell>
          <cell r="IN64">
            <v>0</v>
          </cell>
          <cell r="IO64">
            <v>0</v>
          </cell>
        </row>
      </sheetData>
      <sheetData sheetId="73">
        <row r="4">
          <cell r="IO4">
            <v>40</v>
          </cell>
        </row>
        <row r="5">
          <cell r="IO5">
            <v>40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HZ19">
            <v>84</v>
          </cell>
          <cell r="IA19">
            <v>82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  <cell r="IK19">
            <v>80</v>
          </cell>
          <cell r="IL19">
            <v>72</v>
          </cell>
          <cell r="IM19">
            <v>90</v>
          </cell>
          <cell r="IN19">
            <v>74</v>
          </cell>
          <cell r="IO19">
            <v>80</v>
          </cell>
        </row>
        <row r="47">
          <cell r="IO47">
            <v>50921</v>
          </cell>
        </row>
        <row r="52">
          <cell r="IO52">
            <v>53712</v>
          </cell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HZ64">
            <v>97898</v>
          </cell>
          <cell r="IA64">
            <v>100964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  <cell r="IK64">
            <v>96813</v>
          </cell>
          <cell r="IL64">
            <v>95771</v>
          </cell>
          <cell r="IM64">
            <v>122475</v>
          </cell>
          <cell r="IN64">
            <v>89053</v>
          </cell>
          <cell r="IO64">
            <v>104633</v>
          </cell>
        </row>
      </sheetData>
      <sheetData sheetId="74">
        <row r="12">
          <cell r="IO12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34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769886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75">
        <row r="4">
          <cell r="IO4">
            <v>1</v>
          </cell>
        </row>
        <row r="5">
          <cell r="IO5">
            <v>1</v>
          </cell>
        </row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2</v>
          </cell>
          <cell r="IO19">
            <v>2</v>
          </cell>
        </row>
        <row r="47">
          <cell r="IO47">
            <v>27815</v>
          </cell>
        </row>
        <row r="52">
          <cell r="IO52">
            <v>25141</v>
          </cell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56330</v>
          </cell>
          <cell r="IO64">
            <v>52956</v>
          </cell>
        </row>
      </sheetData>
      <sheetData sheetId="76">
        <row r="4">
          <cell r="IO4">
            <v>15</v>
          </cell>
        </row>
        <row r="5">
          <cell r="IO5">
            <v>15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HZ19">
            <v>84</v>
          </cell>
          <cell r="IA19">
            <v>76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  <cell r="IK19">
            <v>0</v>
          </cell>
          <cell r="IL19">
            <v>34</v>
          </cell>
          <cell r="IM19">
            <v>54</v>
          </cell>
          <cell r="IN19">
            <v>40</v>
          </cell>
          <cell r="IO19">
            <v>30</v>
          </cell>
        </row>
        <row r="47">
          <cell r="IO47">
            <v>411616</v>
          </cell>
        </row>
        <row r="52">
          <cell r="IO52">
            <v>293075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HZ64">
            <v>1284426</v>
          </cell>
          <cell r="IA64">
            <v>1189952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  <cell r="IK64">
            <v>0</v>
          </cell>
          <cell r="IL64">
            <v>769886</v>
          </cell>
          <cell r="IM64">
            <v>1399516</v>
          </cell>
          <cell r="IN64">
            <v>949113</v>
          </cell>
          <cell r="IO64">
            <v>704691</v>
          </cell>
        </row>
      </sheetData>
      <sheetData sheetId="77"/>
      <sheetData sheetId="78">
        <row r="4">
          <cell r="IO4">
            <v>6</v>
          </cell>
        </row>
        <row r="5">
          <cell r="IO5">
            <v>6</v>
          </cell>
        </row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HZ19">
            <v>8</v>
          </cell>
          <cell r="IA19">
            <v>10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  <cell r="IK19">
            <v>80</v>
          </cell>
          <cell r="IL19">
            <v>4</v>
          </cell>
          <cell r="IM19">
            <v>0</v>
          </cell>
          <cell r="IN19">
            <v>2</v>
          </cell>
          <cell r="IO19">
            <v>12</v>
          </cell>
        </row>
        <row r="47">
          <cell r="IO47">
            <v>196196</v>
          </cell>
        </row>
        <row r="52">
          <cell r="IO52">
            <v>134079</v>
          </cell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HZ64">
            <v>115377</v>
          </cell>
          <cell r="IA64">
            <v>133471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  <cell r="IK64">
            <v>1366720</v>
          </cell>
          <cell r="IL64">
            <v>112664</v>
          </cell>
          <cell r="IM64">
            <v>0</v>
          </cell>
          <cell r="IN64">
            <v>51940</v>
          </cell>
          <cell r="IO64">
            <v>330275</v>
          </cell>
        </row>
      </sheetData>
      <sheetData sheetId="7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80"/>
      <sheetData sheetId="81">
        <row r="4">
          <cell r="IO4">
            <v>108</v>
          </cell>
        </row>
        <row r="5">
          <cell r="IO5">
            <v>108</v>
          </cell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HZ19">
            <v>236</v>
          </cell>
          <cell r="IA19">
            <v>234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  <cell r="IK19">
            <v>178</v>
          </cell>
          <cell r="IL19">
            <v>168</v>
          </cell>
          <cell r="IM19">
            <v>186</v>
          </cell>
          <cell r="IN19">
            <v>220</v>
          </cell>
          <cell r="IO19">
            <v>216</v>
          </cell>
        </row>
        <row r="47">
          <cell r="IO47">
            <v>7188357</v>
          </cell>
        </row>
        <row r="52">
          <cell r="IO52">
            <v>5900797</v>
          </cell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HZ64">
            <v>15180035</v>
          </cell>
          <cell r="IA64">
            <v>14743955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  <cell r="IK64">
            <v>12901161</v>
          </cell>
          <cell r="IL64">
            <v>11541243</v>
          </cell>
          <cell r="IM64">
            <v>13850809</v>
          </cell>
          <cell r="IN64">
            <v>13492483</v>
          </cell>
          <cell r="IO64">
            <v>13089154</v>
          </cell>
        </row>
      </sheetData>
      <sheetData sheetId="82">
        <row r="4">
          <cell r="IO4">
            <v>24</v>
          </cell>
        </row>
        <row r="5">
          <cell r="IO5">
            <v>24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HZ19">
            <v>42</v>
          </cell>
          <cell r="IA19">
            <v>42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  <cell r="IK19">
            <v>46</v>
          </cell>
          <cell r="IL19">
            <v>40</v>
          </cell>
          <cell r="IM19">
            <v>46</v>
          </cell>
          <cell r="IN19">
            <v>44</v>
          </cell>
          <cell r="IO19">
            <v>48</v>
          </cell>
        </row>
        <row r="48">
          <cell r="IO48">
            <v>12844</v>
          </cell>
        </row>
        <row r="53">
          <cell r="IO53">
            <v>6158</v>
          </cell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HZ64">
            <v>166312</v>
          </cell>
          <cell r="IA64">
            <v>167301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  <cell r="IK64">
            <v>185212</v>
          </cell>
          <cell r="IL64">
            <v>158682</v>
          </cell>
          <cell r="IM64">
            <v>191768</v>
          </cell>
          <cell r="IN64">
            <v>175699</v>
          </cell>
          <cell r="IO64">
            <v>19002</v>
          </cell>
        </row>
      </sheetData>
      <sheetData sheetId="83">
        <row r="4">
          <cell r="IO4">
            <v>18</v>
          </cell>
        </row>
        <row r="5">
          <cell r="IO5">
            <v>18</v>
          </cell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HZ19">
            <v>34</v>
          </cell>
          <cell r="IA19">
            <v>32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  <cell r="IK19">
            <v>34</v>
          </cell>
          <cell r="IL19">
            <v>28</v>
          </cell>
          <cell r="IM19">
            <v>40</v>
          </cell>
          <cell r="IN19">
            <v>32</v>
          </cell>
          <cell r="IO19">
            <v>36</v>
          </cell>
        </row>
        <row r="47">
          <cell r="IO47">
            <v>70772</v>
          </cell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HZ64">
            <v>66447</v>
          </cell>
          <cell r="IA64">
            <v>55160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  <cell r="IK64">
            <v>55038</v>
          </cell>
          <cell r="IL64">
            <v>50447</v>
          </cell>
          <cell r="IM64">
            <v>63732</v>
          </cell>
          <cell r="IN64">
            <v>54101</v>
          </cell>
          <cell r="IO64">
            <v>70772</v>
          </cell>
        </row>
      </sheetData>
      <sheetData sheetId="84">
        <row r="4">
          <cell r="IO4">
            <v>90</v>
          </cell>
        </row>
        <row r="5">
          <cell r="IO5">
            <v>90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HZ19">
            <v>250</v>
          </cell>
          <cell r="IA19">
            <v>244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  <cell r="IK19">
            <v>252</v>
          </cell>
          <cell r="IL19">
            <v>184</v>
          </cell>
          <cell r="IM19">
            <v>204</v>
          </cell>
          <cell r="IN19">
            <v>170</v>
          </cell>
          <cell r="IO19">
            <v>180</v>
          </cell>
        </row>
        <row r="47">
          <cell r="IO47">
            <v>5403148</v>
          </cell>
        </row>
        <row r="48">
          <cell r="IO48">
            <v>70665</v>
          </cell>
        </row>
        <row r="52">
          <cell r="IO52">
            <v>4149663</v>
          </cell>
        </row>
        <row r="53">
          <cell r="IO53">
            <v>45735</v>
          </cell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HZ64">
            <v>11787241</v>
          </cell>
          <cell r="IA64">
            <v>12069906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  <cell r="IK64">
            <v>11361121</v>
          </cell>
          <cell r="IL64">
            <v>8711052</v>
          </cell>
          <cell r="IM64">
            <v>10218229</v>
          </cell>
          <cell r="IN64">
            <v>9423673</v>
          </cell>
          <cell r="IO64">
            <v>9669211</v>
          </cell>
        </row>
      </sheetData>
      <sheetData sheetId="85"/>
      <sheetData sheetId="86"/>
      <sheetData sheetId="87"/>
      <sheetData sheetId="88">
        <row r="4">
          <cell r="IO4">
            <v>173</v>
          </cell>
        </row>
        <row r="5">
          <cell r="IO5">
            <v>173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HZ19">
            <v>392</v>
          </cell>
          <cell r="IA19">
            <v>364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  <cell r="IK19">
            <v>348</v>
          </cell>
          <cell r="IL19">
            <v>324</v>
          </cell>
          <cell r="IM19">
            <v>372</v>
          </cell>
          <cell r="IN19">
            <v>330</v>
          </cell>
          <cell r="IO19">
            <v>346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</row>
      </sheetData>
      <sheetData sheetId="90">
        <row r="4">
          <cell r="IO4">
            <v>1</v>
          </cell>
        </row>
        <row r="5">
          <cell r="IO5">
            <v>1</v>
          </cell>
        </row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2</v>
          </cell>
        </row>
        <row r="47">
          <cell r="IO47">
            <v>150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111244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150</v>
          </cell>
        </row>
      </sheetData>
      <sheetData sheetId="91">
        <row r="4">
          <cell r="IO4">
            <v>36</v>
          </cell>
        </row>
        <row r="5">
          <cell r="IO5">
            <v>36</v>
          </cell>
        </row>
      </sheetData>
      <sheetData sheetId="92">
        <row r="4">
          <cell r="IO4">
            <v>868</v>
          </cell>
        </row>
        <row r="5">
          <cell r="IO5">
            <v>867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L19" sqref="L19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45200</v>
      </c>
      <c r="B2" s="10"/>
      <c r="C2" s="10"/>
      <c r="D2" s="444" t="s">
        <v>228</v>
      </c>
      <c r="E2" s="444" t="s">
        <v>220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5"/>
      <c r="E3" s="446"/>
      <c r="F3" s="5" t="s">
        <v>2</v>
      </c>
      <c r="G3" s="5" t="s">
        <v>229</v>
      </c>
      <c r="H3" s="5" t="s">
        <v>221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1306540</v>
      </c>
      <c r="C5" s="10">
        <f>'Major Airline Stats'!K5</f>
        <v>1310633</v>
      </c>
      <c r="D5" s="2">
        <f>'Major Airline Stats'!K6</f>
        <v>2617173</v>
      </c>
      <c r="E5" s="2">
        <f>'[1]Monthly Summary'!D5</f>
        <v>2160507</v>
      </c>
      <c r="F5" s="3">
        <f>(D5-E5)/E5</f>
        <v>0.2113698312479432</v>
      </c>
      <c r="G5" s="2">
        <f>+D5+'[2]Monthly Summary'!G5</f>
        <v>25043546</v>
      </c>
      <c r="H5" s="2">
        <f>'[1]Monthly Summary'!G5</f>
        <v>21071359</v>
      </c>
      <c r="I5" s="65">
        <f>(G5-H5)/H5</f>
        <v>0.18851119189796919</v>
      </c>
      <c r="J5" s="2"/>
    </row>
    <row r="6" spans="1:14" x14ac:dyDescent="0.2">
      <c r="A6" s="50" t="s">
        <v>5</v>
      </c>
      <c r="B6" s="217">
        <f>'Regional Major'!M5</f>
        <v>135259</v>
      </c>
      <c r="C6" s="217">
        <f>'Regional Major'!M6</f>
        <v>163846</v>
      </c>
      <c r="D6" s="2">
        <f>B6+C6</f>
        <v>299105</v>
      </c>
      <c r="E6" s="2">
        <f>'[1]Monthly Summary'!D6</f>
        <v>442657</v>
      </c>
      <c r="F6" s="3">
        <f>(D6-E6)/E6</f>
        <v>-0.32429623839677224</v>
      </c>
      <c r="G6" s="2">
        <f>+D6+'[2]Monthly Summary'!G6</f>
        <v>3357566</v>
      </c>
      <c r="H6" s="2">
        <f>'[1]Monthly Summary'!G6</f>
        <v>4403483</v>
      </c>
      <c r="I6" s="65">
        <f>(G6-H6)/H6</f>
        <v>-0.23752039010937478</v>
      </c>
      <c r="K6" s="2"/>
    </row>
    <row r="7" spans="1:14" x14ac:dyDescent="0.2">
      <c r="A7" s="50" t="s">
        <v>6</v>
      </c>
      <c r="B7" s="2">
        <f>Charter!H5</f>
        <v>0</v>
      </c>
      <c r="C7" s="217">
        <f>Charter!H6</f>
        <v>0</v>
      </c>
      <c r="D7" s="2">
        <f>B7+C7</f>
        <v>0</v>
      </c>
      <c r="E7" s="2">
        <f>'[1]Monthly Summary'!D7</f>
        <v>708</v>
      </c>
      <c r="F7" s="3"/>
      <c r="G7" s="2">
        <f>+D7+'[2]Monthly Summary'!G7</f>
        <v>3390</v>
      </c>
      <c r="H7" s="2">
        <f>'[1]Monthly Summary'!G7</f>
        <v>5544</v>
      </c>
      <c r="I7" s="65">
        <f>(G7-H7)/H7</f>
        <v>-0.38852813852813856</v>
      </c>
      <c r="K7" s="2"/>
    </row>
    <row r="8" spans="1:14" x14ac:dyDescent="0.2">
      <c r="A8" s="52" t="s">
        <v>7</v>
      </c>
      <c r="B8" s="119">
        <f>SUM(B5:B7)</f>
        <v>1441799</v>
      </c>
      <c r="C8" s="119">
        <f>SUM(C5:C7)</f>
        <v>1474479</v>
      </c>
      <c r="D8" s="119">
        <f>SUM(D5:D7)</f>
        <v>2916278</v>
      </c>
      <c r="E8" s="119">
        <f>SUM(E5:E7)</f>
        <v>2603872</v>
      </c>
      <c r="F8" s="71">
        <f>(D8-E8)/E8</f>
        <v>0.11997747969178209</v>
      </c>
      <c r="G8" s="119">
        <f>SUM(G5:G7)</f>
        <v>28404502</v>
      </c>
      <c r="H8" s="119">
        <f>SUM(H5:H7)</f>
        <v>25480386</v>
      </c>
      <c r="I8" s="70">
        <f>(G8-H8)/H8</f>
        <v>0.11475948598266918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42904</v>
      </c>
      <c r="C10" s="218">
        <f>'Major Airline Stats'!K10+'Regional Major'!M11</f>
        <v>44006</v>
      </c>
      <c r="D10" s="96">
        <f>SUM(B10:C10)</f>
        <v>86910</v>
      </c>
      <c r="E10" s="402">
        <f>'[1]Monthly Summary'!D10</f>
        <v>85981</v>
      </c>
      <c r="F10" s="72">
        <f>(D10-E10)/E10</f>
        <v>1.0804712669078053E-2</v>
      </c>
      <c r="G10" s="402">
        <f>+D10+'[2]Monthly Summary'!G10</f>
        <v>810674</v>
      </c>
      <c r="H10" s="402">
        <f>'[1]Monthly Summary'!G10</f>
        <v>743254</v>
      </c>
      <c r="I10" s="75">
        <f>(G10-H10)/H10</f>
        <v>9.0709232644560267E-2</v>
      </c>
      <c r="J10" s="169"/>
    </row>
    <row r="11" spans="1:14" ht="15.75" thickBot="1" x14ac:dyDescent="0.3">
      <c r="A11" s="51" t="s">
        <v>13</v>
      </c>
      <c r="B11" s="197">
        <f>B10+B8</f>
        <v>1484703</v>
      </c>
      <c r="C11" s="197">
        <f>C10+C8</f>
        <v>1518485</v>
      </c>
      <c r="D11" s="197">
        <f>D10+D8</f>
        <v>3003188</v>
      </c>
      <c r="E11" s="197">
        <f>E10+E8</f>
        <v>2689853</v>
      </c>
      <c r="F11" s="73">
        <f>(D11-E11)/E11</f>
        <v>0.11648777832840679</v>
      </c>
      <c r="G11" s="197">
        <f>G8+G10</f>
        <v>29215176</v>
      </c>
      <c r="H11" s="197">
        <f>H8+H10</f>
        <v>26223640</v>
      </c>
      <c r="I11" s="76">
        <f>(G11-H11)/H11</f>
        <v>0.11407783206297829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44" t="s">
        <v>228</v>
      </c>
      <c r="E13" s="444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184</v>
      </c>
      <c r="C14" s="5" t="s">
        <v>185</v>
      </c>
      <c r="D14" s="445"/>
      <c r="E14" s="446"/>
      <c r="F14" s="5" t="s">
        <v>2</v>
      </c>
      <c r="G14" s="5" t="s">
        <v>229</v>
      </c>
      <c r="H14" s="5" t="s">
        <v>221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9673</v>
      </c>
      <c r="C16" s="226">
        <f>'Major Airline Stats'!K16+'Major Airline Stats'!K20</f>
        <v>9649</v>
      </c>
      <c r="D16" s="31">
        <f t="shared" ref="D16:D21" si="0">SUM(B16:C16)</f>
        <v>19322</v>
      </c>
      <c r="E16" s="2">
        <f>'[1]Monthly Summary'!D16</f>
        <v>15250</v>
      </c>
      <c r="F16" s="74">
        <f t="shared" ref="F16:F22" si="1">(D16-E16)/E16</f>
        <v>0.26701639344262296</v>
      </c>
      <c r="G16" s="2">
        <f>+D16+'[2]Monthly Summary'!G16</f>
        <v>180876</v>
      </c>
      <c r="H16" s="2">
        <f>'[1]Monthly Summary'!G16</f>
        <v>150517</v>
      </c>
      <c r="I16" s="192">
        <f t="shared" ref="I16:I22" si="2">(G16-H16)/H16</f>
        <v>0.20169814705315678</v>
      </c>
      <c r="N16" s="95"/>
    </row>
    <row r="17" spans="1:14" x14ac:dyDescent="0.2">
      <c r="A17" s="50" t="s">
        <v>5</v>
      </c>
      <c r="B17" s="31">
        <f>'Regional Major'!M15+'Regional Major'!M18</f>
        <v>3135</v>
      </c>
      <c r="C17" s="31">
        <f>'Regional Major'!M16+'Regional Major'!M19</f>
        <v>3136</v>
      </c>
      <c r="D17" s="31">
        <f>SUM(B17:C17)</f>
        <v>6271</v>
      </c>
      <c r="E17" s="2">
        <f>'[1]Monthly Summary'!D17</f>
        <v>7512</v>
      </c>
      <c r="F17" s="74">
        <f t="shared" si="1"/>
        <v>-0.16520234291799787</v>
      </c>
      <c r="G17" s="2">
        <f>+D17+'[2]Monthly Summary'!G17</f>
        <v>62343</v>
      </c>
      <c r="H17" s="2">
        <f>'[1]Monthly Summary'!G17</f>
        <v>82235</v>
      </c>
      <c r="I17" s="192">
        <f t="shared" si="2"/>
        <v>-0.24189213838389981</v>
      </c>
      <c r="L17" s="2"/>
      <c r="M17" s="2"/>
    </row>
    <row r="18" spans="1:14" x14ac:dyDescent="0.2">
      <c r="A18" s="50" t="s">
        <v>10</v>
      </c>
      <c r="B18" s="31">
        <f>Charter!H10</f>
        <v>0</v>
      </c>
      <c r="C18" s="31">
        <f>Charter!H11</f>
        <v>0</v>
      </c>
      <c r="D18" s="31">
        <f t="shared" si="0"/>
        <v>0</v>
      </c>
      <c r="E18" s="2">
        <f>'[1]Monthly Summary'!D18</f>
        <v>5</v>
      </c>
      <c r="F18" s="74"/>
      <c r="G18" s="2">
        <f>+D18+'[2]Monthly Summary'!G18</f>
        <v>58</v>
      </c>
      <c r="H18" s="2">
        <f>'[1]Monthly Summary'!G18</f>
        <v>52</v>
      </c>
      <c r="I18" s="192">
        <f t="shared" si="2"/>
        <v>0.11538461538461539</v>
      </c>
    </row>
    <row r="19" spans="1:14" x14ac:dyDescent="0.2">
      <c r="A19" s="50" t="s">
        <v>11</v>
      </c>
      <c r="B19" s="31">
        <f>Cargo!S4+Cargo!S8</f>
        <v>603</v>
      </c>
      <c r="C19" s="31">
        <f>Cargo!S5+Cargo!S9</f>
        <v>603</v>
      </c>
      <c r="D19" s="31">
        <f t="shared" si="0"/>
        <v>1206</v>
      </c>
      <c r="E19" s="2">
        <f>'[1]Monthly Summary'!D19</f>
        <v>1223</v>
      </c>
      <c r="F19" s="74">
        <f t="shared" si="1"/>
        <v>-1.3900245298446443E-2</v>
      </c>
      <c r="G19" s="2">
        <f>+D19+'[2]Monthly Summary'!G19</f>
        <v>11579</v>
      </c>
      <c r="H19" s="2">
        <f>'[1]Monthly Summary'!G19</f>
        <v>12891</v>
      </c>
      <c r="I19" s="192">
        <f t="shared" si="2"/>
        <v>-0.10177643317042898</v>
      </c>
    </row>
    <row r="20" spans="1:14" x14ac:dyDescent="0.2">
      <c r="A20" s="50" t="s">
        <v>146</v>
      </c>
      <c r="B20" s="31">
        <f>'[3]General Avation'!$IO$4</f>
        <v>868</v>
      </c>
      <c r="C20" s="31">
        <f>'[3]General Avation'!$IO$5</f>
        <v>867</v>
      </c>
      <c r="D20" s="31">
        <f t="shared" si="0"/>
        <v>1735</v>
      </c>
      <c r="E20" s="2">
        <f>'[1]Monthly Summary'!D20</f>
        <v>1524</v>
      </c>
      <c r="F20" s="74">
        <f t="shared" si="1"/>
        <v>0.1384514435695538</v>
      </c>
      <c r="G20" s="2">
        <f>+D20+'[2]Monthly Summary'!G20</f>
        <v>15146</v>
      </c>
      <c r="H20" s="2">
        <f>'[1]Monthly Summary'!G20</f>
        <v>14803</v>
      </c>
      <c r="I20" s="192">
        <f t="shared" si="2"/>
        <v>2.3170978855637372E-2</v>
      </c>
      <c r="M20" s="2"/>
    </row>
    <row r="21" spans="1:14" ht="12.75" customHeight="1" x14ac:dyDescent="0.2">
      <c r="A21" s="50" t="s">
        <v>12</v>
      </c>
      <c r="B21" s="11">
        <f>'[3]Military '!$IO$4</f>
        <v>36</v>
      </c>
      <c r="C21" s="11">
        <f>'[3]Military '!$IO$5</f>
        <v>36</v>
      </c>
      <c r="D21" s="11">
        <f t="shared" si="0"/>
        <v>72</v>
      </c>
      <c r="E21" s="402">
        <f>'[1]Monthly Summary'!D21</f>
        <v>12</v>
      </c>
      <c r="F21" s="190">
        <f t="shared" si="1"/>
        <v>5</v>
      </c>
      <c r="G21" s="402">
        <f>+D21+'[2]Monthly Summary'!G21</f>
        <v>567</v>
      </c>
      <c r="H21" s="402">
        <f>'[1]Monthly Summary'!G21</f>
        <v>780</v>
      </c>
      <c r="I21" s="193">
        <f t="shared" si="2"/>
        <v>-0.27307692307692305</v>
      </c>
      <c r="K21" s="95"/>
      <c r="M21" s="436"/>
    </row>
    <row r="22" spans="1:14" ht="15.75" thickBot="1" x14ac:dyDescent="0.3">
      <c r="A22" s="51" t="s">
        <v>28</v>
      </c>
      <c r="B22" s="198">
        <f>SUM(B16:B21)</f>
        <v>14315</v>
      </c>
      <c r="C22" s="198">
        <f>SUM(C16:C21)</f>
        <v>14291</v>
      </c>
      <c r="D22" s="198">
        <f>SUM(D16:D21)</f>
        <v>28606</v>
      </c>
      <c r="E22" s="198">
        <f>SUM(E16:E21)</f>
        <v>25526</v>
      </c>
      <c r="F22" s="195">
        <f t="shared" si="1"/>
        <v>0.12066128653137977</v>
      </c>
      <c r="G22" s="198">
        <f>SUM(G16:G21)</f>
        <v>270569</v>
      </c>
      <c r="H22" s="198">
        <f>SUM(H16:H21)</f>
        <v>261278</v>
      </c>
      <c r="I22" s="196">
        <f t="shared" si="2"/>
        <v>3.5559825167063436E-2</v>
      </c>
    </row>
    <row r="23" spans="1:14" x14ac:dyDescent="0.2">
      <c r="B23" s="95"/>
      <c r="C23" s="95"/>
      <c r="L23" s="2"/>
    </row>
    <row r="24" spans="1:14" ht="12.75" customHeight="1" x14ac:dyDescent="0.2">
      <c r="B24" s="10"/>
      <c r="C24" s="10"/>
      <c r="D24" s="444" t="s">
        <v>228</v>
      </c>
      <c r="E24" s="444" t="s">
        <v>220</v>
      </c>
      <c r="F24" s="5"/>
      <c r="G24" s="5"/>
      <c r="H24" s="5"/>
      <c r="I24" s="5"/>
    </row>
    <row r="25" spans="1:14" ht="13.5" thickBot="1" x14ac:dyDescent="0.25">
      <c r="B25" s="5" t="s">
        <v>0</v>
      </c>
      <c r="C25" s="5" t="s">
        <v>1</v>
      </c>
      <c r="D25" s="445"/>
      <c r="E25" s="446"/>
      <c r="F25" s="5" t="s">
        <v>2</v>
      </c>
      <c r="G25" s="5" t="s">
        <v>229</v>
      </c>
      <c r="H25" s="5" t="s">
        <v>221</v>
      </c>
      <c r="I25" s="5" t="s">
        <v>2</v>
      </c>
    </row>
    <row r="26" spans="1:14" ht="15" x14ac:dyDescent="0.25">
      <c r="A26" s="48" t="s">
        <v>125</v>
      </c>
      <c r="B26" s="35"/>
      <c r="C26" s="35"/>
      <c r="D26" s="35"/>
      <c r="E26" s="35"/>
      <c r="F26" s="35"/>
      <c r="G26" s="35"/>
      <c r="H26" s="35"/>
      <c r="I26" s="36"/>
    </row>
    <row r="27" spans="1:14" x14ac:dyDescent="0.2">
      <c r="A27" s="45" t="s">
        <v>15</v>
      </c>
      <c r="B27" s="13">
        <f>(Cargo!S16+'Major Airline Stats'!K28+'Regional Major'!M25)*0.00045359237</f>
        <v>9806.0191280586932</v>
      </c>
      <c r="C27" s="13">
        <f>(Cargo!S21+'Major Airline Stats'!K33+'Regional Major'!M30)*0.00045359237</f>
        <v>6633.523467946683</v>
      </c>
      <c r="D27" s="13">
        <f>(SUM(B27:C27)+('Cargo Summary'!E17*0.00045359237))</f>
        <v>16439.542596005376</v>
      </c>
      <c r="E27" s="2">
        <f>'[1]Monthly Summary'!D27</f>
        <v>17671.681136669562</v>
      </c>
      <c r="F27" s="77">
        <f>(D27-E27)/E27</f>
        <v>-6.9723900693717297E-2</v>
      </c>
      <c r="G27" s="2">
        <f>+D27+'[2]Monthly Summary'!G27</f>
        <v>157540.34080841611</v>
      </c>
      <c r="H27" s="2">
        <f>'[1]Monthly Summary'!G27</f>
        <v>171693.69435326615</v>
      </c>
      <c r="I27" s="79">
        <f>(G27-H27)/H27</f>
        <v>-8.2433741076879605E-2</v>
      </c>
      <c r="N27" s="95"/>
    </row>
    <row r="28" spans="1:14" x14ac:dyDescent="0.2">
      <c r="A28" s="45" t="s">
        <v>16</v>
      </c>
      <c r="B28" s="13">
        <f>(Cargo!S17+'Major Airline Stats'!K29+'Regional Major'!M26)*0.00045359237</f>
        <v>1112.5690971741499</v>
      </c>
      <c r="C28" s="13">
        <f>(Cargo!S22+'Major Airline Stats'!K34+'Regional Major'!M31)*0.00045359237</f>
        <v>228.93668739403</v>
      </c>
      <c r="D28" s="13">
        <f>SUM(B28:C28)</f>
        <v>1341.5057845681799</v>
      </c>
      <c r="E28" s="2">
        <f>'[1]Monthly Summary'!D28</f>
        <v>1996.6274301897001</v>
      </c>
      <c r="F28" s="77">
        <f>(D28-E28)/E28</f>
        <v>-0.32811411669290597</v>
      </c>
      <c r="G28" s="2">
        <f>+D28+'[2]Monthly Summary'!G28</f>
        <v>10371.15140405575</v>
      </c>
      <c r="H28" s="2">
        <f>'[1]Monthly Summary'!G28</f>
        <v>24799.525713907096</v>
      </c>
      <c r="I28" s="79">
        <f>(G28-H28)/H28</f>
        <v>-0.58180041329420229</v>
      </c>
    </row>
    <row r="29" spans="1:14" ht="15.75" thickBot="1" x14ac:dyDescent="0.3">
      <c r="A29" s="46" t="s">
        <v>62</v>
      </c>
      <c r="B29" s="38">
        <f>SUM(B27:B28)</f>
        <v>10918.588225232843</v>
      </c>
      <c r="C29" s="38">
        <f>SUM(C27:C28)</f>
        <v>6862.4601553407128</v>
      </c>
      <c r="D29" s="38">
        <f>SUM(D27:D28)</f>
        <v>17781.048380573557</v>
      </c>
      <c r="E29" s="38">
        <f>SUM(E27:E28)</f>
        <v>19668.308566859261</v>
      </c>
      <c r="F29" s="78">
        <f>(D29-E29)/E29</f>
        <v>-9.5954371463629728E-2</v>
      </c>
      <c r="G29" s="38">
        <f>SUM(G27:G28)</f>
        <v>167911.49221247184</v>
      </c>
      <c r="H29" s="38">
        <f>SUM(H27:H28)</f>
        <v>196493.22006717324</v>
      </c>
      <c r="I29" s="80">
        <f>(G29-H29)/H29</f>
        <v>-0.14545910461913364</v>
      </c>
    </row>
    <row r="30" spans="1:14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4" ht="13.5" thickBot="1" x14ac:dyDescent="0.25">
      <c r="B31" s="443" t="s">
        <v>142</v>
      </c>
      <c r="C31" s="442"/>
      <c r="D31" s="443" t="s">
        <v>149</v>
      </c>
      <c r="E31" s="442"/>
      <c r="F31" s="308"/>
      <c r="G31" s="309"/>
    </row>
    <row r="32" spans="1:14" x14ac:dyDescent="0.2">
      <c r="A32" s="290" t="s">
        <v>143</v>
      </c>
      <c r="B32" s="291">
        <f>C8-B33</f>
        <v>1007699</v>
      </c>
      <c r="C32" s="292">
        <f>B32/C8</f>
        <v>0.68342716308607987</v>
      </c>
      <c r="D32" s="293">
        <f>+B32+'[2]Monthly Summary'!$D$32</f>
        <v>9653434</v>
      </c>
      <c r="E32" s="294">
        <f>+D32/D34</f>
        <v>0.68115796304751886</v>
      </c>
      <c r="G32" s="2"/>
      <c r="I32" s="307"/>
    </row>
    <row r="33" spans="1:14" ht="13.5" thickBot="1" x14ac:dyDescent="0.25">
      <c r="A33" s="295" t="s">
        <v>144</v>
      </c>
      <c r="B33" s="296">
        <f>'Major Airline Stats'!K51+'Regional Major'!M45</f>
        <v>466780</v>
      </c>
      <c r="C33" s="297">
        <f>+B33/C8</f>
        <v>0.31657283691392013</v>
      </c>
      <c r="D33" s="298">
        <f>+B33+'[2]Monthly Summary'!$D$33</f>
        <v>4518659</v>
      </c>
      <c r="E33" s="299">
        <f>+D33/D34</f>
        <v>0.3188420369524812</v>
      </c>
      <c r="G33" s="230"/>
      <c r="H33" s="436"/>
      <c r="I33" s="307"/>
    </row>
    <row r="34" spans="1:14" ht="13.5" thickBot="1" x14ac:dyDescent="0.25">
      <c r="B34" s="230"/>
      <c r="D34" s="300">
        <f>SUM(D32:D33)</f>
        <v>14172093</v>
      </c>
    </row>
    <row r="35" spans="1:14" ht="13.5" thickBot="1" x14ac:dyDescent="0.25">
      <c r="B35" s="441" t="s">
        <v>251</v>
      </c>
      <c r="C35" s="442"/>
      <c r="D35" s="443" t="s">
        <v>230</v>
      </c>
      <c r="E35" s="442"/>
    </row>
    <row r="36" spans="1:14" x14ac:dyDescent="0.2">
      <c r="A36" s="290" t="s">
        <v>143</v>
      </c>
      <c r="B36" s="291">
        <f>'[1]Monthly Summary'!$B$32</f>
        <v>909031</v>
      </c>
      <c r="C36" s="292">
        <f>+B36/B38</f>
        <v>0.69465652354988705</v>
      </c>
      <c r="D36" s="293">
        <f>'[1]Monthly Summary'!$D$32</f>
        <v>8748438</v>
      </c>
      <c r="E36" s="294">
        <f>+D36/D38</f>
        <v>0.68799393513536045</v>
      </c>
    </row>
    <row r="37" spans="1:14" ht="13.5" thickBot="1" x14ac:dyDescent="0.25">
      <c r="A37" s="295" t="s">
        <v>144</v>
      </c>
      <c r="B37" s="296">
        <f>'[1]Monthly Summary'!$B$33</f>
        <v>399574</v>
      </c>
      <c r="C37" s="299">
        <f>+B37/B38</f>
        <v>0.30534347645011289</v>
      </c>
      <c r="D37" s="298">
        <f>'[1]Monthly Summary'!$D$33</f>
        <v>3967427</v>
      </c>
      <c r="E37" s="299">
        <f>+D37/D38</f>
        <v>0.31200606486463955</v>
      </c>
      <c r="G37" s="230"/>
      <c r="M37" s="1"/>
    </row>
    <row r="38" spans="1:14" x14ac:dyDescent="0.2">
      <c r="B38" s="312">
        <f>+SUM(B36:B37)</f>
        <v>1308605</v>
      </c>
      <c r="D38" s="300">
        <f>SUM(D36:D37)</f>
        <v>12715865</v>
      </c>
      <c r="K38" s="305"/>
    </row>
    <row r="39" spans="1:14" x14ac:dyDescent="0.2">
      <c r="A39" s="304" t="s">
        <v>145</v>
      </c>
    </row>
    <row r="40" spans="1:14" x14ac:dyDescent="0.2">
      <c r="A40" s="170" t="s">
        <v>147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2023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topLeftCell="A13" zoomScaleNormal="100" zoomScaleSheetLayoutView="100" workbookViewId="0">
      <selection activeCell="G21" sqref="G2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396">
        <v>45200</v>
      </c>
      <c r="B1" s="326" t="s">
        <v>18</v>
      </c>
      <c r="C1" s="325" t="s">
        <v>188</v>
      </c>
      <c r="D1" s="364" t="s">
        <v>155</v>
      </c>
      <c r="E1" s="325" t="s">
        <v>161</v>
      </c>
      <c r="F1" s="325" t="s">
        <v>160</v>
      </c>
      <c r="G1" s="325" t="s">
        <v>49</v>
      </c>
      <c r="H1" s="325" t="s">
        <v>113</v>
      </c>
      <c r="I1" s="325" t="s">
        <v>187</v>
      </c>
      <c r="J1" s="325" t="s">
        <v>250</v>
      </c>
      <c r="K1" s="325" t="s">
        <v>189</v>
      </c>
      <c r="L1" s="325" t="s">
        <v>159</v>
      </c>
      <c r="M1" s="325" t="s">
        <v>196</v>
      </c>
      <c r="N1" s="325" t="s">
        <v>154</v>
      </c>
      <c r="O1" s="325" t="s">
        <v>47</v>
      </c>
      <c r="P1" s="325" t="s">
        <v>137</v>
      </c>
      <c r="Q1" s="325" t="s">
        <v>21</v>
      </c>
    </row>
    <row r="2" spans="1:19" ht="15" x14ac:dyDescent="0.25">
      <c r="A2" s="477" t="s">
        <v>138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9"/>
    </row>
    <row r="3" spans="1:19" x14ac:dyDescent="0.2">
      <c r="A3" s="45" t="s">
        <v>29</v>
      </c>
      <c r="Q3" s="39"/>
    </row>
    <row r="4" spans="1:19" x14ac:dyDescent="0.2">
      <c r="A4" s="45" t="s">
        <v>30</v>
      </c>
      <c r="B4" s="12">
        <f>[3]Delta!$IO$32</f>
        <v>88564</v>
      </c>
      <c r="C4" s="12">
        <f>'[3]Atlantic Southeast'!$IO$32</f>
        <v>0</v>
      </c>
      <c r="D4" s="12">
        <f>[3]Pinnacle!$IO$32</f>
        <v>5350</v>
      </c>
      <c r="E4" s="12">
        <f>'[3]Sky West'!$IO$32</f>
        <v>0</v>
      </c>
      <c r="F4" s="12">
        <f>'[3]Go Jet'!$IO$32</f>
        <v>0</v>
      </c>
      <c r="G4" s="12">
        <f>'[3]Sun Country'!$IO$32</f>
        <v>2113</v>
      </c>
      <c r="H4" s="12">
        <f>[3]Icelandair!$IO$32</f>
        <v>2913</v>
      </c>
      <c r="I4" s="12">
        <f>[3]KLM!$IO$32</f>
        <v>4379</v>
      </c>
      <c r="J4" s="12">
        <f>[3]Jazz_AC!$IO$32</f>
        <v>7472</v>
      </c>
      <c r="K4" s="12">
        <f>'[3]Sky Regional'!$IO$32</f>
        <v>0</v>
      </c>
      <c r="L4" s="12">
        <f>[3]Condor!$IO$32</f>
        <v>0</v>
      </c>
      <c r="M4" s="12">
        <f>'[3]Aer Lingus'!$IO$32</f>
        <v>0</v>
      </c>
      <c r="N4" s="12">
        <f>'[3]Air France'!$IO$32</f>
        <v>0</v>
      </c>
      <c r="O4" s="12">
        <f>[3]Frontier!$IO$32</f>
        <v>0</v>
      </c>
      <c r="P4" s="12">
        <f>'[3]Charter Misc'!$IO$32+[3]Ryan!$IO$32+[3]Omni!$IO$32</f>
        <v>0</v>
      </c>
      <c r="Q4" s="205">
        <f>SUM(B4:P4)</f>
        <v>110791</v>
      </c>
    </row>
    <row r="5" spans="1:19" x14ac:dyDescent="0.2">
      <c r="A5" s="45" t="s">
        <v>31</v>
      </c>
      <c r="B5" s="7">
        <f>[3]Delta!$IO$33</f>
        <v>81986</v>
      </c>
      <c r="C5" s="7">
        <f>'[3]Atlantic Southeast'!$IO$33</f>
        <v>0</v>
      </c>
      <c r="D5" s="7">
        <f>[3]Pinnacle!$IO$33</f>
        <v>5520</v>
      </c>
      <c r="E5" s="7">
        <f>'[3]Sky West'!$IO$33</f>
        <v>0</v>
      </c>
      <c r="F5" s="7">
        <f>'[3]Go Jet'!$IO$33</f>
        <v>0</v>
      </c>
      <c r="G5" s="7">
        <f>'[3]Sun Country'!$IO$33</f>
        <v>2282</v>
      </c>
      <c r="H5" s="7">
        <f>[3]Icelandair!$IO$33</f>
        <v>2376</v>
      </c>
      <c r="I5" s="7">
        <f>[3]KLM!$IO$33</f>
        <v>3557</v>
      </c>
      <c r="J5" s="7">
        <f>[3]Jazz_AC!$IO$33</f>
        <v>6307</v>
      </c>
      <c r="K5" s="7">
        <f>'[3]Sky Regional'!$IO$33</f>
        <v>0</v>
      </c>
      <c r="L5" s="7">
        <f>[3]Condor!$IO$33</f>
        <v>0</v>
      </c>
      <c r="M5" s="7">
        <f>'[3]Aer Lingus'!$IO$33</f>
        <v>0</v>
      </c>
      <c r="N5" s="7">
        <f>'[3]Air France'!$IO$33</f>
        <v>0</v>
      </c>
      <c r="O5" s="7">
        <f>[3]Frontier!$IO$33</f>
        <v>0</v>
      </c>
      <c r="P5" s="7">
        <f>'[3]Charter Misc'!$IO$33++[3]Ryan!$IO$33+[3]Omni!$IO$33</f>
        <v>0</v>
      </c>
      <c r="Q5" s="206">
        <f>SUM(B5:P5)</f>
        <v>102028</v>
      </c>
    </row>
    <row r="6" spans="1:19" ht="15" x14ac:dyDescent="0.25">
      <c r="A6" s="43" t="s">
        <v>7</v>
      </c>
      <c r="B6" s="24">
        <f t="shared" ref="B6:P6" si="0">SUM(B4:B5)</f>
        <v>170550</v>
      </c>
      <c r="C6" s="24">
        <f t="shared" si="0"/>
        <v>0</v>
      </c>
      <c r="D6" s="24">
        <f t="shared" si="0"/>
        <v>10870</v>
      </c>
      <c r="E6" s="24">
        <f t="shared" si="0"/>
        <v>0</v>
      </c>
      <c r="F6" s="24">
        <f t="shared" ref="F6" si="1">SUM(F4:F5)</f>
        <v>0</v>
      </c>
      <c r="G6" s="24">
        <f t="shared" si="0"/>
        <v>4395</v>
      </c>
      <c r="H6" s="24">
        <f t="shared" si="0"/>
        <v>5289</v>
      </c>
      <c r="I6" s="24">
        <f t="shared" ref="I6" si="2">SUM(I4:I5)</f>
        <v>7936</v>
      </c>
      <c r="J6" s="24">
        <f t="shared" si="0"/>
        <v>13779</v>
      </c>
      <c r="K6" s="24">
        <f t="shared" ref="K6" si="3">SUM(K4:K5)</f>
        <v>0</v>
      </c>
      <c r="L6" s="24">
        <f t="shared" ref="L6:M6" si="4">SUM(L4:L5)</f>
        <v>0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07">
        <f>SUM(B6:P6)</f>
        <v>212819</v>
      </c>
    </row>
    <row r="7" spans="1:19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9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9" x14ac:dyDescent="0.2">
      <c r="A9" s="45" t="s">
        <v>30</v>
      </c>
      <c r="B9" s="12">
        <f>[3]Delta!$IO$37</f>
        <v>2216</v>
      </c>
      <c r="C9" s="12">
        <f>'[3]Atlantic Southeast'!$IO$37</f>
        <v>0</v>
      </c>
      <c r="D9" s="12">
        <f>[3]Pinnacle!$IO$37</f>
        <v>145</v>
      </c>
      <c r="E9" s="12">
        <f>'[3]Sky West'!$IO$37</f>
        <v>0</v>
      </c>
      <c r="F9" s="12">
        <f>'[3]Go Jet'!$IO$37</f>
        <v>0</v>
      </c>
      <c r="G9" s="12">
        <f>'[3]Sun Country'!$IO$37</f>
        <v>48</v>
      </c>
      <c r="H9" s="12">
        <f>[3]Icelandair!$IO$37</f>
        <v>29</v>
      </c>
      <c r="I9" s="12">
        <f>[3]KLM!$IO$37</f>
        <v>15</v>
      </c>
      <c r="J9" s="12">
        <f>[3]Jazz_AC!$IO$37</f>
        <v>124</v>
      </c>
      <c r="K9" s="12">
        <f>'[3]Sky Regional'!$IO$37</f>
        <v>0</v>
      </c>
      <c r="L9" s="12">
        <f>[3]Condor!$IO$37</f>
        <v>0</v>
      </c>
      <c r="M9" s="12">
        <f>'[3]Aer Lingus'!$IO$37</f>
        <v>0</v>
      </c>
      <c r="N9" s="12">
        <f>'[3]Air France'!$IO$37</f>
        <v>0</v>
      </c>
      <c r="O9" s="12">
        <f>[3]Frontier!$IO$37</f>
        <v>0</v>
      </c>
      <c r="P9" s="12">
        <f>'[3]Charter Misc'!$IO$37+[3]Ryan!$IO$37+[3]Omni!$IO$37</f>
        <v>0</v>
      </c>
      <c r="Q9" s="205">
        <f>SUM(B9:P9)</f>
        <v>2577</v>
      </c>
    </row>
    <row r="10" spans="1:19" x14ac:dyDescent="0.2">
      <c r="A10" s="45" t="s">
        <v>33</v>
      </c>
      <c r="B10" s="7">
        <f>[3]Delta!$IO$38</f>
        <v>2563</v>
      </c>
      <c r="C10" s="7">
        <f>'[3]Atlantic Southeast'!$IO$38</f>
        <v>0</v>
      </c>
      <c r="D10" s="7">
        <f>[3]Pinnacle!$IO$38</f>
        <v>132</v>
      </c>
      <c r="E10" s="7">
        <f>'[3]Sky West'!$IO$38</f>
        <v>0</v>
      </c>
      <c r="F10" s="7">
        <f>'[3]Go Jet'!$IO$38</f>
        <v>0</v>
      </c>
      <c r="G10" s="7">
        <f>'[3]Sun Country'!$IO$38</f>
        <v>61</v>
      </c>
      <c r="H10" s="7">
        <f>[3]Icelandair!$IO$38</f>
        <v>28</v>
      </c>
      <c r="I10" s="7">
        <f>[3]KLM!$IO$38</f>
        <v>0</v>
      </c>
      <c r="J10" s="7">
        <f>[3]Jazz_AC!$IO$38</f>
        <v>139</v>
      </c>
      <c r="K10" s="7">
        <f>'[3]Sky Regional'!$IO$38</f>
        <v>0</v>
      </c>
      <c r="L10" s="7">
        <f>[3]Condor!$IO$38</f>
        <v>0</v>
      </c>
      <c r="M10" s="7">
        <f>'[3]Aer Lingus'!$IO$38</f>
        <v>0</v>
      </c>
      <c r="N10" s="7">
        <f>'[3]Air France'!$IO$38</f>
        <v>0</v>
      </c>
      <c r="O10" s="7">
        <f>[3]Frontier!$IO$38</f>
        <v>0</v>
      </c>
      <c r="P10" s="7">
        <f>'[3]Charter Misc'!$IO$38+[3]Ryan!$IO$38+[3]Omni!$IO$38</f>
        <v>0</v>
      </c>
      <c r="Q10" s="206">
        <f>SUM(B10:P10)</f>
        <v>2923</v>
      </c>
    </row>
    <row r="11" spans="1:19" ht="15.75" thickBot="1" x14ac:dyDescent="0.3">
      <c r="A11" s="46" t="s">
        <v>34</v>
      </c>
      <c r="B11" s="208">
        <f t="shared" ref="B11:G11" si="5">SUM(B9:B10)</f>
        <v>4779</v>
      </c>
      <c r="C11" s="208">
        <f t="shared" si="5"/>
        <v>0</v>
      </c>
      <c r="D11" s="208">
        <f t="shared" si="5"/>
        <v>277</v>
      </c>
      <c r="E11" s="208">
        <f t="shared" si="5"/>
        <v>0</v>
      </c>
      <c r="F11" s="208">
        <f t="shared" ref="F11" si="6">SUM(F9:F10)</f>
        <v>0</v>
      </c>
      <c r="G11" s="208">
        <f t="shared" si="5"/>
        <v>109</v>
      </c>
      <c r="H11" s="208">
        <f t="shared" ref="H11:P11" si="7">SUM(H9:H10)</f>
        <v>57</v>
      </c>
      <c r="I11" s="208">
        <f t="shared" ref="I11" si="8">SUM(I9:I10)</f>
        <v>15</v>
      </c>
      <c r="J11" s="208">
        <f t="shared" si="7"/>
        <v>263</v>
      </c>
      <c r="K11" s="208">
        <f t="shared" ref="K11" si="9">SUM(K9:K10)</f>
        <v>0</v>
      </c>
      <c r="L11" s="208">
        <f t="shared" si="7"/>
        <v>0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5500</v>
      </c>
      <c r="S11" s="230"/>
    </row>
    <row r="12" spans="1:19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9" ht="39" thickBot="1" x14ac:dyDescent="0.25">
      <c r="B13" s="326" t="s">
        <v>18</v>
      </c>
      <c r="C13" s="325" t="s">
        <v>188</v>
      </c>
      <c r="D13" s="364" t="s">
        <v>155</v>
      </c>
      <c r="E13" s="325" t="s">
        <v>161</v>
      </c>
      <c r="F13" s="325" t="s">
        <v>160</v>
      </c>
      <c r="G13" s="325" t="s">
        <v>49</v>
      </c>
      <c r="H13" s="325" t="s">
        <v>113</v>
      </c>
      <c r="I13" s="325" t="s">
        <v>187</v>
      </c>
      <c r="J13" s="325" t="s">
        <v>250</v>
      </c>
      <c r="K13" s="325" t="s">
        <v>189</v>
      </c>
      <c r="L13" s="325" t="s">
        <v>159</v>
      </c>
      <c r="M13" s="325" t="s">
        <v>196</v>
      </c>
      <c r="N13" s="325" t="s">
        <v>154</v>
      </c>
      <c r="O13" s="325" t="s">
        <v>47</v>
      </c>
      <c r="P13" s="325" t="s">
        <v>137</v>
      </c>
      <c r="Q13" s="325" t="s">
        <v>21</v>
      </c>
    </row>
    <row r="14" spans="1:19" ht="15" x14ac:dyDescent="0.25">
      <c r="A14" s="480" t="s">
        <v>139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2"/>
    </row>
    <row r="15" spans="1:19" x14ac:dyDescent="0.2">
      <c r="A15" s="45" t="s">
        <v>29</v>
      </c>
      <c r="Q15" s="39"/>
    </row>
    <row r="16" spans="1:19" x14ac:dyDescent="0.2">
      <c r="A16" s="45"/>
      <c r="Q16" s="39"/>
    </row>
    <row r="17" spans="1:20" x14ac:dyDescent="0.2">
      <c r="A17" s="45" t="s">
        <v>30</v>
      </c>
      <c r="B17" s="12">
        <f>SUM([3]Delta!$IF$32:$IO$32)</f>
        <v>907065</v>
      </c>
      <c r="C17" s="12">
        <f>SUM('[3]Atlantic Southeast'!$IF$32:$IO$32)</f>
        <v>0</v>
      </c>
      <c r="D17" s="12">
        <f>SUM([3]Pinnacle!$IF$32:$IO$32)</f>
        <v>12723</v>
      </c>
      <c r="E17" s="12">
        <f>SUM('[3]Sky West'!$IF$32:$IO$32)</f>
        <v>41752</v>
      </c>
      <c r="F17" s="12">
        <f>SUM('[3]Go Jet'!$IF$32:$IO$32)</f>
        <v>0</v>
      </c>
      <c r="G17" s="12">
        <f>SUM('[3]Sun Country'!$IF$32:$IO$32)</f>
        <v>151158</v>
      </c>
      <c r="H17" s="12">
        <f>SUM([3]Icelandair!$IF$32:$IO$32)</f>
        <v>33872</v>
      </c>
      <c r="I17" s="12">
        <f>SUM([3]KLM!$IF$32:$IO$32)</f>
        <v>39963</v>
      </c>
      <c r="J17" s="12">
        <f>SUM([3]Jazz_AC!$IF$32:$IO$32)</f>
        <v>60833</v>
      </c>
      <c r="K17" s="12">
        <f>SUM('[3]Sky Regional'!$IF$32:$IO$32)</f>
        <v>0</v>
      </c>
      <c r="L17" s="12">
        <f>SUM([3]Condor!$IF$32:$IO$32)</f>
        <v>9430</v>
      </c>
      <c r="M17" s="12">
        <f>SUM('[3]Aer Lingus'!$IF$32:$IO$32)</f>
        <v>0</v>
      </c>
      <c r="N17" s="12">
        <f>SUM('[3]Air France'!$IF$32:$IO$32)</f>
        <v>0</v>
      </c>
      <c r="O17" s="12">
        <f>SUM([3]Frontier!$IF$32:$IO$32)</f>
        <v>0</v>
      </c>
      <c r="P17" s="12">
        <f>SUM('[3]Charter Misc'!$IF$32:$IO$32)+SUM([3]Ryan!$IF$32:$IO$32)+SUM([3]Omni!$IF$32:$IO$32)</f>
        <v>1581</v>
      </c>
      <c r="Q17" s="205">
        <f>SUM(B17:P17)</f>
        <v>1258377</v>
      </c>
    </row>
    <row r="18" spans="1:20" x14ac:dyDescent="0.2">
      <c r="A18" s="45" t="s">
        <v>31</v>
      </c>
      <c r="B18" s="7">
        <f>SUM([3]Delta!$IF$33:$IO$33)</f>
        <v>876485</v>
      </c>
      <c r="C18" s="7">
        <f>SUM('[3]Atlantic Southeast'!$IF$33:$IO$33)</f>
        <v>0</v>
      </c>
      <c r="D18" s="7">
        <f>SUM([3]Pinnacle!$IF$33:$IO$33)</f>
        <v>13984</v>
      </c>
      <c r="E18" s="7">
        <f>SUM('[3]Sky West'!$IF$33:$IO$33)</f>
        <v>43952</v>
      </c>
      <c r="F18" s="7">
        <f>SUM('[3]Go Jet'!$IF$33:$IO$33)</f>
        <v>0</v>
      </c>
      <c r="G18" s="7">
        <f>SUM('[3]Sun Country'!$IF$33:$IO$33)</f>
        <v>147296</v>
      </c>
      <c r="H18" s="7">
        <f>SUM([3]Icelandair!$IF$33:$IO$33)</f>
        <v>32803</v>
      </c>
      <c r="I18" s="7">
        <f>SUM([3]KLM!$IF$33:$IO$33)</f>
        <v>35901</v>
      </c>
      <c r="J18" s="7">
        <f>SUM([3]Jazz_AC!$IF$33:$IO$33)</f>
        <v>60272</v>
      </c>
      <c r="K18" s="7">
        <f>SUM('[3]Sky Regional'!$IF$33:$IO$33)</f>
        <v>0</v>
      </c>
      <c r="L18" s="7">
        <f>SUM([3]Condor!$IF$33:$IO$33)</f>
        <v>9574</v>
      </c>
      <c r="M18" s="7">
        <f>SUM('[3]Aer Lingus'!$IF$33:$IO$33)</f>
        <v>0</v>
      </c>
      <c r="N18" s="7">
        <f>SUM('[3]Air France'!$IF$33:$IO$33)</f>
        <v>0</v>
      </c>
      <c r="O18" s="7">
        <f>SUM([3]Frontier!$IF$33:$IO$33)</f>
        <v>0</v>
      </c>
      <c r="P18" s="7">
        <f>SUM('[3]Charter Misc'!$IF$33:$IO$33)++SUM([3]Ryan!$IF$33:$IO$33)+SUM([3]Omni!$IF$33:$IO$33)</f>
        <v>492</v>
      </c>
      <c r="Q18" s="206">
        <f>SUM(B18:P18)</f>
        <v>1220759</v>
      </c>
    </row>
    <row r="19" spans="1:20" ht="15" x14ac:dyDescent="0.25">
      <c r="A19" s="43" t="s">
        <v>7</v>
      </c>
      <c r="B19" s="24">
        <f t="shared" ref="B19:P19" si="11">SUM(B17:B18)</f>
        <v>1783550</v>
      </c>
      <c r="C19" s="24">
        <f t="shared" si="11"/>
        <v>0</v>
      </c>
      <c r="D19" s="24">
        <f t="shared" si="11"/>
        <v>26707</v>
      </c>
      <c r="E19" s="24">
        <f t="shared" si="11"/>
        <v>85704</v>
      </c>
      <c r="F19" s="24">
        <f t="shared" ref="F19" si="12">SUM(F17:F18)</f>
        <v>0</v>
      </c>
      <c r="G19" s="24">
        <f t="shared" si="11"/>
        <v>298454</v>
      </c>
      <c r="H19" s="24">
        <f t="shared" si="11"/>
        <v>66675</v>
      </c>
      <c r="I19" s="24">
        <f t="shared" ref="I19" si="13">SUM(I17:I18)</f>
        <v>75864</v>
      </c>
      <c r="J19" s="24">
        <f t="shared" si="11"/>
        <v>121105</v>
      </c>
      <c r="K19" s="24">
        <f t="shared" ref="K19" si="14">SUM(K17:K18)</f>
        <v>0</v>
      </c>
      <c r="L19" s="24">
        <f t="shared" ref="L19:M19" si="15">SUM(L17:L18)</f>
        <v>19004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2073</v>
      </c>
      <c r="Q19" s="207">
        <f>SUM(B19:P19)</f>
        <v>2479136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SUM([3]Delta!$IF$37:$IO$37)</f>
        <v>22849</v>
      </c>
      <c r="C22" s="12">
        <f>SUM('[3]Atlantic Southeast'!$IF$37:$IO$37)</f>
        <v>0</v>
      </c>
      <c r="D22" s="12">
        <f>SUM([3]Pinnacle!$IF$37:$IO$37)</f>
        <v>278</v>
      </c>
      <c r="E22" s="12">
        <f>SUM('[3]Sky West'!$IF$37:$IO$37)</f>
        <v>804</v>
      </c>
      <c r="F22" s="12">
        <f>SUM('[3]Go Jet'!$IF$37:$IO$37)</f>
        <v>0</v>
      </c>
      <c r="G22" s="12">
        <f>SUM('[3]Sun Country'!$IF$37:$IO$37)</f>
        <v>1998</v>
      </c>
      <c r="H22" s="12">
        <f>SUM([3]Icelandair!$IF$37:$IO$37)</f>
        <v>204</v>
      </c>
      <c r="I22" s="12">
        <f>SUM([3]KLM!$IF$37:$IO$37)</f>
        <v>110</v>
      </c>
      <c r="J22" s="12">
        <f>SUM([3]Jazz_AC!$IF$37:$IO$37)</f>
        <v>736</v>
      </c>
      <c r="K22" s="12">
        <f>SUM('[3]Sky Regional'!$IF$37:$IO$37)</f>
        <v>0</v>
      </c>
      <c r="L22" s="12">
        <f>SUM([3]Condor!$IF$37:$IO$37)</f>
        <v>35</v>
      </c>
      <c r="M22" s="12">
        <f>SUM('[3]Aer Lingus'!$IF$37:$IO$37)</f>
        <v>0</v>
      </c>
      <c r="N22" s="12">
        <f>SUM('[3]Air France'!$IF$37:$IO$37)</f>
        <v>0</v>
      </c>
      <c r="O22" s="12">
        <f>SUM([3]Frontier!$IF$37:$IO$37)</f>
        <v>0</v>
      </c>
      <c r="P22" s="12">
        <f>SUM('[3]Charter Misc'!$IF$37:$IO$37)++SUM([3]Ryan!$IF$37:$IO$37)+SUM([3]Omni!$IF$37:$IO$37)</f>
        <v>0</v>
      </c>
      <c r="Q22" s="205">
        <f>SUM(B22:P22)</f>
        <v>27014</v>
      </c>
    </row>
    <row r="23" spans="1:20" x14ac:dyDescent="0.2">
      <c r="A23" s="45" t="s">
        <v>33</v>
      </c>
      <c r="B23" s="7">
        <f>SUM([3]Delta!$IF$38:$IO$38)</f>
        <v>25083</v>
      </c>
      <c r="C23" s="7">
        <f>SUM('[3]Atlantic Southeast'!$IF$38:$IO$38)</f>
        <v>0</v>
      </c>
      <c r="D23" s="7">
        <f>SUM([3]Pinnacle!$IF$38:$IO$38)</f>
        <v>292</v>
      </c>
      <c r="E23" s="7">
        <f>SUM('[3]Sky West'!$IF$38:$IO$38)</f>
        <v>766</v>
      </c>
      <c r="F23" s="7">
        <f>SUM('[3]Go Jet'!$IF$38:$IO$38)</f>
        <v>0</v>
      </c>
      <c r="G23" s="7">
        <f>SUM('[3]Sun Country'!$IF$38:$IO$38)</f>
        <v>2102</v>
      </c>
      <c r="H23" s="7">
        <f>SUM([3]Icelandair!$IF$38:$IO$38)</f>
        <v>218</v>
      </c>
      <c r="I23" s="7">
        <f>SUM([3]KLM!$IF$38:$IO$38)</f>
        <v>3</v>
      </c>
      <c r="J23" s="7">
        <f>SUM([3]Jazz_AC!$IF$38:$IO$38)</f>
        <v>869</v>
      </c>
      <c r="K23" s="7">
        <f>SUM('[3]Sky Regional'!$IF$38:$IO$38)</f>
        <v>0</v>
      </c>
      <c r="L23" s="7">
        <f>SUM([3]Condor!$IF$38:$IO$38)</f>
        <v>28</v>
      </c>
      <c r="M23" s="7">
        <f>SUM('[3]Aer Lingus'!$IF$38:$IO$38)</f>
        <v>0</v>
      </c>
      <c r="N23" s="7">
        <f>SUM('[3]Air France'!$IF$38:$IO$38)</f>
        <v>0</v>
      </c>
      <c r="O23" s="7">
        <f>SUM([3]Frontier!$IF$38:$IO$38)</f>
        <v>0</v>
      </c>
      <c r="P23" s="7">
        <f>SUM('[3]Charter Misc'!$IF$38:$IO$38)++SUM([3]Ryan!$IF$38:$IO$38)+SUM([3]Omni!$IF$38:$IO$38)</f>
        <v>0</v>
      </c>
      <c r="Q23" s="206">
        <f>SUM(B23:P23)</f>
        <v>29361</v>
      </c>
    </row>
    <row r="24" spans="1:20" ht="15.75" thickBot="1" x14ac:dyDescent="0.3">
      <c r="A24" s="46" t="s">
        <v>34</v>
      </c>
      <c r="B24" s="208">
        <f t="shared" ref="B24:P24" si="16">SUM(B22:B23)</f>
        <v>47932</v>
      </c>
      <c r="C24" s="208">
        <f t="shared" si="16"/>
        <v>0</v>
      </c>
      <c r="D24" s="208">
        <f t="shared" si="16"/>
        <v>570</v>
      </c>
      <c r="E24" s="208">
        <f t="shared" si="16"/>
        <v>1570</v>
      </c>
      <c r="F24" s="208">
        <f t="shared" ref="F24" si="17">SUM(F22:F23)</f>
        <v>0</v>
      </c>
      <c r="G24" s="208">
        <f t="shared" si="16"/>
        <v>4100</v>
      </c>
      <c r="H24" s="208">
        <f t="shared" si="16"/>
        <v>422</v>
      </c>
      <c r="I24" s="208">
        <f t="shared" ref="I24" si="18">SUM(I22:I23)</f>
        <v>113</v>
      </c>
      <c r="J24" s="208">
        <f t="shared" si="16"/>
        <v>1605</v>
      </c>
      <c r="K24" s="208">
        <f t="shared" ref="K24" si="19">SUM(K22:K23)</f>
        <v>0</v>
      </c>
      <c r="L24" s="208">
        <f t="shared" ref="L24:M24" si="20">SUM(L22:L23)</f>
        <v>63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56375</v>
      </c>
    </row>
    <row r="26" spans="1:20" ht="39" thickBot="1" x14ac:dyDescent="0.25">
      <c r="B26" s="326" t="s">
        <v>18</v>
      </c>
      <c r="C26" s="325" t="s">
        <v>188</v>
      </c>
      <c r="D26" s="364" t="s">
        <v>155</v>
      </c>
      <c r="E26" s="325" t="s">
        <v>161</v>
      </c>
      <c r="F26" s="325" t="s">
        <v>160</v>
      </c>
      <c r="G26" s="325" t="s">
        <v>49</v>
      </c>
      <c r="H26" s="325" t="s">
        <v>113</v>
      </c>
      <c r="I26" s="325" t="s">
        <v>187</v>
      </c>
      <c r="J26" s="325" t="s">
        <v>250</v>
      </c>
      <c r="K26" s="325" t="s">
        <v>189</v>
      </c>
      <c r="L26" s="325" t="s">
        <v>159</v>
      </c>
      <c r="M26" s="325" t="s">
        <v>196</v>
      </c>
      <c r="N26" s="325" t="s">
        <v>154</v>
      </c>
      <c r="O26" s="325" t="s">
        <v>47</v>
      </c>
      <c r="P26" s="325" t="s">
        <v>137</v>
      </c>
      <c r="Q26" s="325" t="s">
        <v>21</v>
      </c>
    </row>
    <row r="27" spans="1:20" ht="15" x14ac:dyDescent="0.25">
      <c r="A27" s="483" t="s">
        <v>140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5"/>
    </row>
    <row r="28" spans="1:20" x14ac:dyDescent="0.2">
      <c r="A28" s="45" t="s">
        <v>22</v>
      </c>
      <c r="B28" s="12">
        <f>[3]Delta!$IO$15</f>
        <v>494</v>
      </c>
      <c r="C28" s="12">
        <f>'[3]Atlantic Southeast'!$IO$15</f>
        <v>0</v>
      </c>
      <c r="D28" s="12">
        <f>[3]Pinnacle!$IO$15</f>
        <v>86</v>
      </c>
      <c r="E28" s="12">
        <f>'[3]Sky West'!$IO$15</f>
        <v>0</v>
      </c>
      <c r="F28" s="12">
        <f>'[3]Go Jet'!$IO$15</f>
        <v>0</v>
      </c>
      <c r="G28" s="12">
        <f>'[3]Sun Country'!$IO$15</f>
        <v>17</v>
      </c>
      <c r="H28" s="12">
        <f>[3]Icelandair!$IO$15</f>
        <v>18</v>
      </c>
      <c r="I28" s="12">
        <f>[3]KLM!$IO$15</f>
        <v>17</v>
      </c>
      <c r="J28" s="12">
        <f>[3]Jazz_AC!$IO$15</f>
        <v>125</v>
      </c>
      <c r="K28" s="12">
        <f>'[3]Sky Regional'!$IO$15</f>
        <v>0</v>
      </c>
      <c r="L28" s="12">
        <f>[3]Condor!$IO$15</f>
        <v>0</v>
      </c>
      <c r="M28" s="12">
        <f>'[3]Aer Lingus'!$IO$15</f>
        <v>0</v>
      </c>
      <c r="N28" s="12">
        <f>'[3]Air France'!$IO$15</f>
        <v>0</v>
      </c>
      <c r="O28" s="12">
        <f>[3]Frontier!$IO$15</f>
        <v>0</v>
      </c>
      <c r="P28" s="12">
        <f>'[3]Charter Misc'!$IO$15+[3]Ryan!$IO$15+[3]Omni!$IO$15</f>
        <v>0</v>
      </c>
      <c r="Q28" s="205">
        <f>SUM(B28:P28)</f>
        <v>757</v>
      </c>
    </row>
    <row r="29" spans="1:20" x14ac:dyDescent="0.2">
      <c r="A29" s="45" t="s">
        <v>23</v>
      </c>
      <c r="B29" s="12">
        <f>[3]Delta!$IO$16</f>
        <v>495</v>
      </c>
      <c r="C29" s="12">
        <f>'[3]Atlantic Southeast'!$IO$16</f>
        <v>0</v>
      </c>
      <c r="D29" s="12">
        <f>[3]Pinnacle!$IO$16</f>
        <v>86</v>
      </c>
      <c r="E29" s="12">
        <f>'[3]Sky West'!$IO$16</f>
        <v>0</v>
      </c>
      <c r="F29" s="12">
        <f>'[3]Go Jet'!$IO$16</f>
        <v>0</v>
      </c>
      <c r="G29" s="12">
        <f>'[3]Sun Country'!$IO$16</f>
        <v>17</v>
      </c>
      <c r="H29" s="12">
        <f>[3]Icelandair!$IO$16</f>
        <v>18</v>
      </c>
      <c r="I29" s="12">
        <f>[3]KLM!$IO$16</f>
        <v>17</v>
      </c>
      <c r="J29" s="12">
        <f>[3]Jazz_AC!$IO$16</f>
        <v>125</v>
      </c>
      <c r="K29" s="12">
        <f>'[3]Sky Regional'!$IO$16</f>
        <v>0</v>
      </c>
      <c r="L29" s="12">
        <f>[3]Condor!$IO$16</f>
        <v>0</v>
      </c>
      <c r="M29" s="12">
        <f>'[3]Aer Lingus'!$IO$16</f>
        <v>0</v>
      </c>
      <c r="N29" s="12">
        <f>'[3]Air France'!$IO$16</f>
        <v>0</v>
      </c>
      <c r="O29" s="12">
        <f>[3]Frontier!$IO$16</f>
        <v>0</v>
      </c>
      <c r="P29" s="12">
        <f>'[3]Charter Misc'!$IO$16+[3]Ryan!$IO$16+[3]Omni!$IO$16</f>
        <v>0</v>
      </c>
      <c r="Q29" s="205">
        <f>SUM(B29:P29)</f>
        <v>758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989</v>
      </c>
      <c r="C31" s="282">
        <f t="shared" si="21"/>
        <v>0</v>
      </c>
      <c r="D31" s="282">
        <f t="shared" si="21"/>
        <v>172</v>
      </c>
      <c r="E31" s="282">
        <f>SUM(E28:E29)</f>
        <v>0</v>
      </c>
      <c r="F31" s="282">
        <f>SUM(F28:F29)</f>
        <v>0</v>
      </c>
      <c r="G31" s="282">
        <f t="shared" si="21"/>
        <v>34</v>
      </c>
      <c r="H31" s="282">
        <f t="shared" si="21"/>
        <v>36</v>
      </c>
      <c r="I31" s="282">
        <f t="shared" ref="I31" si="22">SUM(I28:I29)</f>
        <v>34</v>
      </c>
      <c r="J31" s="282">
        <f t="shared" si="21"/>
        <v>250</v>
      </c>
      <c r="K31" s="282">
        <f t="shared" ref="K31" si="23">SUM(K28:K29)</f>
        <v>0</v>
      </c>
      <c r="L31" s="282">
        <f>SUM(L28:L29)</f>
        <v>0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0</v>
      </c>
      <c r="Q31" s="283">
        <f>SUM(B31:P31)</f>
        <v>1515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188</v>
      </c>
      <c r="D33" s="364" t="s">
        <v>155</v>
      </c>
      <c r="E33" s="325" t="s">
        <v>161</v>
      </c>
      <c r="F33" s="325" t="s">
        <v>160</v>
      </c>
      <c r="G33" s="325" t="s">
        <v>49</v>
      </c>
      <c r="H33" s="325" t="s">
        <v>113</v>
      </c>
      <c r="I33" s="325" t="s">
        <v>187</v>
      </c>
      <c r="J33" s="325" t="s">
        <v>250</v>
      </c>
      <c r="K33" s="325" t="s">
        <v>189</v>
      </c>
      <c r="L33" s="325" t="s">
        <v>159</v>
      </c>
      <c r="M33" s="325" t="s">
        <v>196</v>
      </c>
      <c r="N33" s="325" t="s">
        <v>154</v>
      </c>
      <c r="O33" s="325" t="s">
        <v>47</v>
      </c>
      <c r="P33" s="325" t="s">
        <v>137</v>
      </c>
      <c r="Q33" s="325" t="s">
        <v>21</v>
      </c>
    </row>
    <row r="34" spans="1:17" ht="15" x14ac:dyDescent="0.25">
      <c r="A34" s="486" t="s">
        <v>141</v>
      </c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8"/>
    </row>
    <row r="35" spans="1:17" x14ac:dyDescent="0.2">
      <c r="A35" s="45" t="s">
        <v>22</v>
      </c>
      <c r="B35" s="12">
        <f>SUM([3]Delta!$IF$15:$IO$15)</f>
        <v>5092</v>
      </c>
      <c r="C35" s="12">
        <f>SUM('[3]Atlantic Southeast'!$IF$15:$IO$15)</f>
        <v>0</v>
      </c>
      <c r="D35" s="12">
        <f>SUM([3]Pinnacle!$IF$15:$IO$15)</f>
        <v>214</v>
      </c>
      <c r="E35" s="12">
        <f>SUM('[3]Sky West'!$IF$15:$IO$15)</f>
        <v>695</v>
      </c>
      <c r="F35" s="12">
        <f>SUM('[3]Go Jet'!$IF$15:$IO$15)</f>
        <v>0</v>
      </c>
      <c r="G35" s="12">
        <f>SUM('[3]Sun Country'!$IF$15:$IO$15)</f>
        <v>1002</v>
      </c>
      <c r="H35" s="12">
        <f>SUM([3]Icelandair!$IF$15:$IO$15)</f>
        <v>195</v>
      </c>
      <c r="I35" s="12">
        <f>SUM([3]KLM!$IF$15:$IO$15)</f>
        <v>163</v>
      </c>
      <c r="J35" s="12">
        <f>SUM([3]Jazz_AC!$IF$15:$IO$15)</f>
        <v>1020</v>
      </c>
      <c r="K35" s="12">
        <f>SUM('[3]Sky Regional'!$IF$15:$IO$15)</f>
        <v>0</v>
      </c>
      <c r="L35" s="12">
        <f>SUM([3]Condor!$IF$15:$IO$15)</f>
        <v>44</v>
      </c>
      <c r="M35" s="12">
        <f>SUM('[3]Aer Lingus'!$IF$15:$IO$15)</f>
        <v>0</v>
      </c>
      <c r="N35" s="12">
        <f>SUM('[3]Air France'!$IF$15:$IO$15)</f>
        <v>0</v>
      </c>
      <c r="O35" s="12">
        <f>SUM([3]Frontier!$IF$15:$IO$15)</f>
        <v>0</v>
      </c>
      <c r="P35" s="12">
        <f>SUM('[3]Charter Misc'!$IF$15:$IO$15)+SUM([3]Ryan!$IF$15:$IO$15)+SUM([3]Omni!$IF$15:$IO$15)</f>
        <v>8</v>
      </c>
      <c r="Q35" s="205">
        <f>SUM(B35:P35)</f>
        <v>8433</v>
      </c>
    </row>
    <row r="36" spans="1:17" x14ac:dyDescent="0.2">
      <c r="A36" s="45" t="s">
        <v>23</v>
      </c>
      <c r="B36" s="12">
        <f>SUM([3]Delta!$IF$16:$IO$16)</f>
        <v>5110</v>
      </c>
      <c r="C36" s="12">
        <f>SUM('[3]Atlantic Southeast'!$IF$16:$IO$16)</f>
        <v>0</v>
      </c>
      <c r="D36" s="12">
        <f>SUM([3]Pinnacle!$IF$16:$IO$16)</f>
        <v>215</v>
      </c>
      <c r="E36" s="12">
        <f>SUM('[3]Sky West'!$IF$16:$IO$16)</f>
        <v>692</v>
      </c>
      <c r="F36" s="12">
        <f>SUM('[3]Go Jet'!$IF$16:$IO$16)</f>
        <v>0</v>
      </c>
      <c r="G36" s="12">
        <f>SUM('[3]Sun Country'!$IF$16:$IO$16)</f>
        <v>993</v>
      </c>
      <c r="H36" s="12">
        <f>SUM([3]Icelandair!$IF$16:$IO$16)</f>
        <v>195</v>
      </c>
      <c r="I36" s="12">
        <f>SUM([3]KLM!$IF$16:$IO$16)</f>
        <v>163</v>
      </c>
      <c r="J36" s="12">
        <f>SUM([3]Jazz_AC!$IF$16:$IO$16)</f>
        <v>953</v>
      </c>
      <c r="K36" s="12">
        <f>SUM('[3]Sky Regional'!$IF$16:$IO$16)</f>
        <v>0</v>
      </c>
      <c r="L36" s="12">
        <f>SUM([3]Condor!$IF$16:$IO$16)</f>
        <v>44</v>
      </c>
      <c r="M36" s="12">
        <f>SUM('[3]Aer Lingus'!$IF$16:$IO$16)</f>
        <v>0</v>
      </c>
      <c r="N36" s="12">
        <f>SUM('[3]Air France'!$IF$16:$IO$16)</f>
        <v>0</v>
      </c>
      <c r="O36" s="12">
        <f>SUM([3]Frontier!$IF$16:$IO$16)</f>
        <v>0</v>
      </c>
      <c r="P36" s="12">
        <f>SUM('[3]Charter Misc'!$IF$16:$IO$16)+SUM([3]Ryan!$IF$16:$IO$16)+SUM([3]Omni!$IF$16:$IO$16)</f>
        <v>3</v>
      </c>
      <c r="Q36" s="205">
        <f>SUM(B36:P36)</f>
        <v>8368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10202</v>
      </c>
      <c r="C38" s="282">
        <f t="shared" si="25"/>
        <v>0</v>
      </c>
      <c r="D38" s="282">
        <f t="shared" si="25"/>
        <v>429</v>
      </c>
      <c r="E38" s="282">
        <f>+SUM(E35:E36)</f>
        <v>1387</v>
      </c>
      <c r="F38" s="282">
        <f>+SUM(F35:F36)</f>
        <v>0</v>
      </c>
      <c r="G38" s="282">
        <f t="shared" si="25"/>
        <v>1995</v>
      </c>
      <c r="H38" s="282">
        <f t="shared" si="25"/>
        <v>390</v>
      </c>
      <c r="I38" s="282">
        <f t="shared" ref="I38" si="26">+SUM(I35:I36)</f>
        <v>326</v>
      </c>
      <c r="J38" s="282">
        <f t="shared" si="25"/>
        <v>1973</v>
      </c>
      <c r="K38" s="282">
        <f t="shared" ref="K38" si="27">+SUM(K35:K36)</f>
        <v>0</v>
      </c>
      <c r="L38" s="282">
        <f>+SUM(L35:L36)</f>
        <v>88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11</v>
      </c>
      <c r="Q38" s="283">
        <f>SUM(B38:P38)</f>
        <v>16801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&amp;"Arial,Bold"October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701"/>
  <sheetViews>
    <sheetView zoomScaleNormal="100" zoomScaleSheetLayoutView="85" workbookViewId="0">
      <pane ySplit="2" topLeftCell="A35" activePane="bottomLeft" state="frozen"/>
      <selection pane="bottomLeft" activeCell="D42" sqref="D42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7" t="s">
        <v>130</v>
      </c>
      <c r="B1" s="498"/>
      <c r="C1" s="407" t="s">
        <v>231</v>
      </c>
      <c r="D1" s="407" t="s">
        <v>224</v>
      </c>
      <c r="E1" s="406" t="s">
        <v>95</v>
      </c>
      <c r="F1" s="408" t="s">
        <v>232</v>
      </c>
      <c r="G1" s="407" t="s">
        <v>225</v>
      </c>
      <c r="H1" s="409" t="s">
        <v>96</v>
      </c>
      <c r="I1" s="406" t="s">
        <v>233</v>
      </c>
      <c r="J1" s="501" t="s">
        <v>134</v>
      </c>
      <c r="K1" s="502"/>
      <c r="L1" s="410" t="s">
        <v>234</v>
      </c>
      <c r="M1" s="410" t="s">
        <v>226</v>
      </c>
      <c r="N1" s="411" t="s">
        <v>96</v>
      </c>
      <c r="O1" s="412" t="s">
        <v>235</v>
      </c>
      <c r="P1" s="412" t="s">
        <v>227</v>
      </c>
      <c r="Q1" s="413" t="s">
        <v>96</v>
      </c>
      <c r="R1" s="414" t="s">
        <v>233</v>
      </c>
      <c r="S1" s="489" t="s">
        <v>210</v>
      </c>
      <c r="T1" s="490"/>
      <c r="U1" s="415" t="s">
        <v>234</v>
      </c>
      <c r="V1" s="415" t="s">
        <v>226</v>
      </c>
      <c r="W1" s="416" t="s">
        <v>96</v>
      </c>
      <c r="X1" s="417" t="s">
        <v>235</v>
      </c>
      <c r="Y1" s="417" t="s">
        <v>227</v>
      </c>
      <c r="Z1" s="418" t="s">
        <v>96</v>
      </c>
      <c r="AA1" s="419" t="s">
        <v>233</v>
      </c>
    </row>
    <row r="2" spans="1:27" s="9" customFormat="1" ht="13.5" customHeight="1" thickBot="1" x14ac:dyDescent="0.25">
      <c r="A2" s="472">
        <v>45200</v>
      </c>
      <c r="B2" s="473"/>
      <c r="C2" s="499" t="s">
        <v>9</v>
      </c>
      <c r="D2" s="500"/>
      <c r="E2" s="500"/>
      <c r="F2" s="500"/>
      <c r="G2" s="500"/>
      <c r="H2" s="500"/>
      <c r="I2" s="332"/>
      <c r="J2" s="472">
        <f>+A2</f>
        <v>45200</v>
      </c>
      <c r="K2" s="473"/>
      <c r="L2" s="494" t="s">
        <v>136</v>
      </c>
      <c r="M2" s="495"/>
      <c r="N2" s="495"/>
      <c r="O2" s="495"/>
      <c r="P2" s="495"/>
      <c r="Q2" s="495"/>
      <c r="R2" s="496"/>
      <c r="S2" s="472">
        <f>+J2</f>
        <v>45200</v>
      </c>
      <c r="T2" s="473"/>
      <c r="U2" s="491" t="s">
        <v>211</v>
      </c>
      <c r="V2" s="492"/>
      <c r="W2" s="492"/>
      <c r="X2" s="492"/>
      <c r="Y2" s="492"/>
      <c r="Z2" s="492"/>
      <c r="AA2" s="493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ht="14.1" customHeight="1" x14ac:dyDescent="0.2">
      <c r="A4" s="258" t="s">
        <v>98</v>
      </c>
      <c r="B4" s="39"/>
      <c r="C4" s="259">
        <f>SUM(C5:C7)</f>
        <v>250</v>
      </c>
      <c r="D4" s="261">
        <f>SUM(D5:D7)</f>
        <v>224</v>
      </c>
      <c r="E4" s="262">
        <f>(C4-D4)/D4</f>
        <v>0.11607142857142858</v>
      </c>
      <c r="F4" s="259">
        <f>SUM(F5:F7)</f>
        <v>1973</v>
      </c>
      <c r="G4" s="261">
        <f>SUM(G5:G7)</f>
        <v>1538</v>
      </c>
      <c r="H4" s="260">
        <f>(F4-G4)/G4</f>
        <v>0.28283485045513657</v>
      </c>
      <c r="I4" s="262">
        <f>F4/$F$62</f>
        <v>8.1120307212841098E-3</v>
      </c>
      <c r="J4" s="258" t="s">
        <v>98</v>
      </c>
      <c r="K4" s="39"/>
      <c r="L4" s="259">
        <f>SUM(L5:L7)</f>
        <v>13779</v>
      </c>
      <c r="M4" s="261">
        <f>SUM(M5:M7)</f>
        <v>11937</v>
      </c>
      <c r="N4" s="262">
        <f>(L4-M4)/M4</f>
        <v>0.15431012817290776</v>
      </c>
      <c r="O4" s="259">
        <f>SUM(O5:O7)</f>
        <v>121105</v>
      </c>
      <c r="P4" s="261">
        <f>SUM(P5:P7)</f>
        <v>81941</v>
      </c>
      <c r="Q4" s="260">
        <f>(O4-P4)/P4</f>
        <v>0.47795364957713476</v>
      </c>
      <c r="R4" s="262">
        <f>O4/$O$62</f>
        <v>4.2640936030955406E-3</v>
      </c>
      <c r="S4" s="258" t="s">
        <v>98</v>
      </c>
      <c r="T4" s="39"/>
      <c r="U4" s="259">
        <f>SUM(U5:U7)</f>
        <v>28880.5</v>
      </c>
      <c r="V4" s="261">
        <f>SUM(V5:V7)</f>
        <v>500</v>
      </c>
      <c r="W4" s="262">
        <f>(U4-V4)/V4</f>
        <v>56.761000000000003</v>
      </c>
      <c r="X4" s="259">
        <f>SUM(X5:X7)</f>
        <v>325159.19999999995</v>
      </c>
      <c r="Y4" s="261">
        <f>SUM(Y5:Y7)</f>
        <v>804730</v>
      </c>
      <c r="Z4" s="260">
        <f>(X4-Y4)/Y4</f>
        <v>-0.59594000472208075</v>
      </c>
      <c r="AA4" s="262">
        <f>X4/$X$62</f>
        <v>4.6105805807766789E-3</v>
      </c>
    </row>
    <row r="5" spans="1:27" ht="14.1" customHeight="1" x14ac:dyDescent="0.2">
      <c r="A5" s="258"/>
      <c r="B5" s="318" t="s">
        <v>98</v>
      </c>
      <c r="C5" s="263">
        <f>+[3]AirCanada!$IO$19</f>
        <v>0</v>
      </c>
      <c r="D5" s="2">
        <f>+[3]AirCanada!$IA$19</f>
        <v>0</v>
      </c>
      <c r="E5" s="65" t="e">
        <f>(C5-D5)/D5</f>
        <v>#DIV/0!</v>
      </c>
      <c r="F5" s="217">
        <f>SUM([3]AirCanada!$IF$19:$IO$19)</f>
        <v>0</v>
      </c>
      <c r="G5" s="217">
        <f>SUM([3]AirCanada!$HR$19:$IA$19)</f>
        <v>0</v>
      </c>
      <c r="H5" s="323" t="e">
        <f>(F5-G5)/G5</f>
        <v>#DIV/0!</v>
      </c>
      <c r="I5" s="65">
        <f>F5/$F$62</f>
        <v>0</v>
      </c>
      <c r="J5" s="258"/>
      <c r="K5" s="318" t="s">
        <v>98</v>
      </c>
      <c r="L5" s="322">
        <f>+[3]AirCanada!$IO$41</f>
        <v>0</v>
      </c>
      <c r="M5" s="217">
        <f>+[3]AirCanada!$IA$41</f>
        <v>0</v>
      </c>
      <c r="N5" s="324" t="e">
        <f>(L5-M5)/M5</f>
        <v>#DIV/0!</v>
      </c>
      <c r="O5" s="322">
        <f>SUM([3]AirCanada!$IF$41:$IO$41)</f>
        <v>0</v>
      </c>
      <c r="P5" s="217">
        <f>SUM([3]AirCanada!$HR$41:$IA$41)</f>
        <v>0</v>
      </c>
      <c r="Q5" s="323" t="e">
        <f>(O5-P5)/P5</f>
        <v>#DIV/0!</v>
      </c>
      <c r="R5" s="324">
        <f>O5/$O$62</f>
        <v>0</v>
      </c>
      <c r="S5" s="258"/>
      <c r="T5" s="318" t="s">
        <v>98</v>
      </c>
      <c r="U5" s="322">
        <f>+[3]AirCanada!$IO$64</f>
        <v>0</v>
      </c>
      <c r="V5" s="217">
        <f>+[3]AirCanada!$IA$64</f>
        <v>0</v>
      </c>
      <c r="W5" s="324" t="e">
        <f>(U5-V5)/V5</f>
        <v>#DIV/0!</v>
      </c>
      <c r="X5" s="322">
        <f>SUM([3]AirCanada!$IF$64:$IO$64)</f>
        <v>0</v>
      </c>
      <c r="Y5" s="217">
        <f>SUM([3]AirCanada!$HR$64:$IA$64)</f>
        <v>0</v>
      </c>
      <c r="Z5" s="323" t="e">
        <f>(X5-Y5)/Y5</f>
        <v>#DIV/0!</v>
      </c>
      <c r="AA5" s="324">
        <f>X5/$X$62</f>
        <v>0</v>
      </c>
    </row>
    <row r="6" spans="1:27" ht="14.1" customHeight="1" x14ac:dyDescent="0.2">
      <c r="A6" s="258"/>
      <c r="B6" s="318" t="s">
        <v>162</v>
      </c>
      <c r="C6" s="263">
        <f>'[3]Air Georgian'!$IO$19</f>
        <v>0</v>
      </c>
      <c r="D6" s="2">
        <f>'[3]Air Georgian'!$IA$19</f>
        <v>0</v>
      </c>
      <c r="E6" s="65" t="e">
        <f>(C6-D6)/D6</f>
        <v>#DIV/0!</v>
      </c>
      <c r="F6" s="217">
        <f>SUM('[3]Air Georgian'!$IF$19:$IO$19)</f>
        <v>0</v>
      </c>
      <c r="G6" s="217">
        <f>SUM('[3]Air Georgian'!$HR$19:$IA$19)</f>
        <v>0</v>
      </c>
      <c r="H6" s="323" t="e">
        <f>(F6-G6)/G6</f>
        <v>#DIV/0!</v>
      </c>
      <c r="I6" s="65">
        <f>F6/$F$62</f>
        <v>0</v>
      </c>
      <c r="J6" s="258"/>
      <c r="K6" s="318" t="s">
        <v>162</v>
      </c>
      <c r="L6" s="263">
        <f>'[3]Air Georgian'!$IO$41</f>
        <v>0</v>
      </c>
      <c r="M6" s="2">
        <f>'[3]Air Georgian'!$IA$41</f>
        <v>0</v>
      </c>
      <c r="N6" s="65" t="e">
        <f>(L6-M6)/M6</f>
        <v>#DIV/0!</v>
      </c>
      <c r="O6" s="263">
        <f>SUM('[3]Air Georgian'!$IF$41:$IO$41)</f>
        <v>0</v>
      </c>
      <c r="P6" s="2">
        <f>SUM('[3]Air Georgian'!$HR$41:$IA$41)</f>
        <v>0</v>
      </c>
      <c r="Q6" s="3" t="e">
        <f>(O6-P6)/P6</f>
        <v>#DIV/0!</v>
      </c>
      <c r="R6" s="65">
        <f>O6/$O$62</f>
        <v>0</v>
      </c>
      <c r="S6" s="258"/>
      <c r="T6" s="318" t="s">
        <v>162</v>
      </c>
      <c r="U6" s="263">
        <f>'[3]Air Georgian'!$IO$64</f>
        <v>0</v>
      </c>
      <c r="V6" s="2">
        <f>'[3]Air Georgian'!$IA$64</f>
        <v>0</v>
      </c>
      <c r="W6" s="65" t="e">
        <f>(U6-V6)/V6</f>
        <v>#DIV/0!</v>
      </c>
      <c r="X6" s="263">
        <f>SUM('[3]Air Georgian'!$IF$64:$IO$64)</f>
        <v>0</v>
      </c>
      <c r="Y6" s="2">
        <f>SUM('[3]Air Georgian'!$HR$64:$IA$64)</f>
        <v>0</v>
      </c>
      <c r="Z6" s="3" t="e">
        <f>(X6-Y6)/Y6</f>
        <v>#DIV/0!</v>
      </c>
      <c r="AA6" s="65">
        <f>X6/$X$62</f>
        <v>0</v>
      </c>
    </row>
    <row r="7" spans="1:27" ht="14.1" customHeight="1" x14ac:dyDescent="0.2">
      <c r="A7" s="258"/>
      <c r="B7" s="318" t="s">
        <v>218</v>
      </c>
      <c r="C7" s="263">
        <f>[3]Jazz_AC!$IO$19</f>
        <v>250</v>
      </c>
      <c r="D7" s="2">
        <f>[3]Jazz_AC!$IA$19</f>
        <v>224</v>
      </c>
      <c r="E7" s="65">
        <f t="shared" ref="E7" si="0">(C7-D7)/D7</f>
        <v>0.11607142857142858</v>
      </c>
      <c r="F7" s="2">
        <f>SUM([3]Jazz_AC!$IF$19:$IO$19)</f>
        <v>1973</v>
      </c>
      <c r="G7" s="2">
        <f>SUM([3]Jazz_AC!$HR$19:$IA$19)</f>
        <v>1538</v>
      </c>
      <c r="H7" s="3">
        <f t="shared" ref="H7" si="1">(F7-G7)/G7</f>
        <v>0.28283485045513657</v>
      </c>
      <c r="I7" s="65">
        <f>F7/$F$62</f>
        <v>8.1120307212841098E-3</v>
      </c>
      <c r="J7" s="258"/>
      <c r="K7" s="318" t="s">
        <v>218</v>
      </c>
      <c r="L7" s="263">
        <f>[3]Jazz_AC!$IO$41</f>
        <v>13779</v>
      </c>
      <c r="M7" s="2">
        <f>[3]Jazz_AC!$IA$41</f>
        <v>11937</v>
      </c>
      <c r="N7" s="65">
        <f t="shared" ref="N7" si="2">(L7-M7)/M7</f>
        <v>0.15431012817290776</v>
      </c>
      <c r="O7" s="263">
        <f>SUM([3]Jazz_AC!$IF$41:$IO$41)</f>
        <v>121105</v>
      </c>
      <c r="P7" s="2">
        <f>SUM([3]Jazz_AC!$HR$41:$IA$41)</f>
        <v>81941</v>
      </c>
      <c r="Q7" s="3">
        <f t="shared" ref="Q7" si="3">(O7-P7)/P7</f>
        <v>0.47795364957713476</v>
      </c>
      <c r="R7" s="65">
        <f>O7/$O$62</f>
        <v>4.2640936030955406E-3</v>
      </c>
      <c r="S7" s="258"/>
      <c r="T7" s="318" t="s">
        <v>218</v>
      </c>
      <c r="U7" s="263">
        <f>[3]Jazz_AC!$IO$64</f>
        <v>28880.5</v>
      </c>
      <c r="V7" s="2">
        <f>[3]Jazz_AC!$IA$64</f>
        <v>500</v>
      </c>
      <c r="W7" s="65">
        <f t="shared" ref="W7" si="4">(U7-V7)/V7</f>
        <v>56.761000000000003</v>
      </c>
      <c r="X7" s="263">
        <f>SUM([3]Jazz_AC!$IF$64:$IO$64)</f>
        <v>325159.19999999995</v>
      </c>
      <c r="Y7" s="2">
        <f>SUM([3]Jazz_AC!$HR$64:$IA$64)</f>
        <v>804730</v>
      </c>
      <c r="Z7" s="3">
        <f t="shared" ref="Z7" si="5">(X7-Y7)/Y7</f>
        <v>-0.59594000472208075</v>
      </c>
      <c r="AA7" s="65">
        <f>X7/$X$62</f>
        <v>4.6105805807766789E-3</v>
      </c>
    </row>
    <row r="8" spans="1:27" ht="14.1" customHeight="1" x14ac:dyDescent="0.2">
      <c r="A8" s="258"/>
      <c r="B8" s="39"/>
      <c r="C8" s="259"/>
      <c r="D8" s="261"/>
      <c r="E8" s="262"/>
      <c r="F8" s="261"/>
      <c r="G8" s="261"/>
      <c r="H8" s="260"/>
      <c r="I8" s="262"/>
      <c r="J8" s="258"/>
      <c r="K8" s="39"/>
      <c r="L8" s="263"/>
      <c r="N8" s="65"/>
      <c r="O8" s="263"/>
      <c r="P8" s="2"/>
      <c r="Q8" s="3"/>
      <c r="R8" s="65"/>
      <c r="S8" s="258"/>
      <c r="T8" s="39"/>
      <c r="U8" s="263"/>
      <c r="V8" s="2"/>
      <c r="W8" s="65"/>
      <c r="X8" s="263"/>
      <c r="Y8" s="2"/>
      <c r="Z8" s="3"/>
      <c r="AA8" s="65"/>
    </row>
    <row r="9" spans="1:27" ht="14.1" customHeight="1" x14ac:dyDescent="0.2">
      <c r="A9" s="258" t="s">
        <v>154</v>
      </c>
      <c r="B9" s="39"/>
      <c r="C9" s="259">
        <f>'[3]Air France'!$IO$19</f>
        <v>0</v>
      </c>
      <c r="D9" s="261">
        <f>'[3]Air France'!$IA$19</f>
        <v>0</v>
      </c>
      <c r="E9" s="262" t="e">
        <f>(C9-D9)/D9</f>
        <v>#DIV/0!</v>
      </c>
      <c r="F9" s="261">
        <f>SUM('[3]Air France'!$IF$19:$IO$19)</f>
        <v>0</v>
      </c>
      <c r="G9" s="261">
        <f>SUM('[3]Air France'!$HR$19:$IA$19)</f>
        <v>194</v>
      </c>
      <c r="H9" s="260">
        <f>(F9-G9)/G9</f>
        <v>-1</v>
      </c>
      <c r="I9" s="262">
        <f>F9/$F$62</f>
        <v>0</v>
      </c>
      <c r="J9" s="258" t="s">
        <v>154</v>
      </c>
      <c r="K9" s="39"/>
      <c r="L9" s="259">
        <f>'[3]Air France'!$IO$41</f>
        <v>0</v>
      </c>
      <c r="M9" s="261">
        <f>'[3]Air France'!$IA$41</f>
        <v>0</v>
      </c>
      <c r="N9" s="262" t="e">
        <f>(L9-M9)/M9</f>
        <v>#DIV/0!</v>
      </c>
      <c r="O9" s="259">
        <f>SUM('[3]Air France'!$IF$41:$IO$41)</f>
        <v>0</v>
      </c>
      <c r="P9" s="261">
        <f>SUM('[3]Air France'!$HR$41:$IA$41)</f>
        <v>49205</v>
      </c>
      <c r="Q9" s="260">
        <f>(O9-P9)/P9</f>
        <v>-1</v>
      </c>
      <c r="R9" s="262">
        <f>O9/$O$62</f>
        <v>0</v>
      </c>
      <c r="S9" s="258" t="s">
        <v>154</v>
      </c>
      <c r="T9" s="39"/>
      <c r="U9" s="259">
        <f>'[3]Air France'!$IO$64</f>
        <v>0</v>
      </c>
      <c r="V9" s="261">
        <f>'[3]Air France'!$IA$64</f>
        <v>0</v>
      </c>
      <c r="W9" s="262" t="e">
        <f>(U9-V9)/V9</f>
        <v>#DIV/0!</v>
      </c>
      <c r="X9" s="259">
        <f>SUM('[3]Air France'!$IF$64:$IO$64)</f>
        <v>0</v>
      </c>
      <c r="Y9" s="261">
        <f>SUM('[3]Air France'!$HR$64:$IA$64)</f>
        <v>2150435</v>
      </c>
      <c r="Z9" s="260">
        <f>(X9-Y9)/Y9</f>
        <v>-1</v>
      </c>
      <c r="AA9" s="262">
        <f>X9/$X$62</f>
        <v>0</v>
      </c>
    </row>
    <row r="10" spans="1:27" ht="14.1" customHeight="1" x14ac:dyDescent="0.2">
      <c r="A10" s="258"/>
      <c r="B10" s="39"/>
      <c r="C10" s="259"/>
      <c r="D10" s="261"/>
      <c r="E10" s="262"/>
      <c r="F10" s="261"/>
      <c r="G10" s="261"/>
      <c r="H10" s="260"/>
      <c r="I10" s="262"/>
      <c r="J10" s="258"/>
      <c r="K10" s="39"/>
      <c r="L10" s="263"/>
      <c r="N10" s="65"/>
      <c r="O10" s="263"/>
      <c r="P10" s="2"/>
      <c r="Q10" s="3"/>
      <c r="R10" s="65"/>
      <c r="S10" s="258"/>
      <c r="T10" s="39"/>
      <c r="U10" s="263"/>
      <c r="V10" s="2"/>
      <c r="W10" s="65"/>
      <c r="X10" s="263"/>
      <c r="Y10" s="2"/>
      <c r="Z10" s="3"/>
      <c r="AA10" s="65"/>
    </row>
    <row r="11" spans="1:27" ht="14.1" customHeight="1" x14ac:dyDescent="0.2">
      <c r="A11" s="258" t="s">
        <v>219</v>
      </c>
      <c r="B11" s="39"/>
      <c r="C11" s="263">
        <f>'[3]Allegiant '!$IO$19</f>
        <v>70</v>
      </c>
      <c r="D11" s="2">
        <f>'[3]Allegiant '!$IA$19</f>
        <v>108</v>
      </c>
      <c r="E11" s="262">
        <f t="shared" ref="E11" si="6">(C11-D11)/D11</f>
        <v>-0.35185185185185186</v>
      </c>
      <c r="F11" s="2">
        <f>SUM('[3]Allegiant '!$IF$19:$IO$19)</f>
        <v>698</v>
      </c>
      <c r="G11" s="2">
        <f>SUM('[3]Allegiant '!$HR$19:$IA$19)</f>
        <v>758</v>
      </c>
      <c r="H11" s="260">
        <f t="shared" ref="H11" si="7">(F11-G11)/G11</f>
        <v>-7.9155672823219003E-2</v>
      </c>
      <c r="I11" s="262">
        <f>F11/$F$62</f>
        <v>2.8698415831000046E-3</v>
      </c>
      <c r="J11" s="258" t="s">
        <v>219</v>
      </c>
      <c r="K11" s="39"/>
      <c r="L11" s="263">
        <f>'[3]Allegiant '!$IO$41</f>
        <v>9411</v>
      </c>
      <c r="M11" s="2">
        <f>'[3]Allegiant '!$IA$41</f>
        <v>15464</v>
      </c>
      <c r="N11" s="262">
        <f t="shared" ref="N11" si="8">(L11-M11)/M11</f>
        <v>-0.39142524573202275</v>
      </c>
      <c r="O11" s="263">
        <f>SUM('[3]Allegiant '!$IF$41:$IO$41)</f>
        <v>101340</v>
      </c>
      <c r="P11" s="2">
        <f>SUM('[3]Allegiant '!$HR$41:$IA$41)</f>
        <v>105334</v>
      </c>
      <c r="Q11" s="260">
        <f t="shared" ref="Q11" si="9">(O11-P11)/P11</f>
        <v>-3.7917481534926994E-2</v>
      </c>
      <c r="R11" s="262">
        <f>O11/$O$62</f>
        <v>3.5681701477040758E-3</v>
      </c>
      <c r="S11" s="258" t="s">
        <v>219</v>
      </c>
      <c r="T11" s="39"/>
      <c r="U11" s="263">
        <f>'[3]Allegiant '!$IO$64</f>
        <v>0</v>
      </c>
      <c r="V11" s="2">
        <f>'[3]Allegiant '!$IA$64</f>
        <v>0</v>
      </c>
      <c r="W11" s="262" t="e">
        <f t="shared" ref="W11" si="10">(U11-V11)/V11</f>
        <v>#DIV/0!</v>
      </c>
      <c r="X11" s="263">
        <f>SUM('[3]Allegiant '!$IF$64:$IO$64)</f>
        <v>0</v>
      </c>
      <c r="Y11" s="2">
        <f>SUM('[3]Allegiant '!$HR$64:$IA$64)</f>
        <v>0</v>
      </c>
      <c r="Z11" s="260" t="e">
        <f t="shared" ref="Z11" si="11">(X11-Y11)/Y11</f>
        <v>#DIV/0!</v>
      </c>
      <c r="AA11" s="262">
        <f>X11/$X$62</f>
        <v>0</v>
      </c>
    </row>
    <row r="12" spans="1:27" ht="14.1" customHeight="1" x14ac:dyDescent="0.2">
      <c r="A12" s="258"/>
      <c r="B12" s="39"/>
      <c r="C12" s="259"/>
      <c r="D12" s="261"/>
      <c r="E12" s="262"/>
      <c r="F12" s="261"/>
      <c r="G12" s="261"/>
      <c r="H12" s="260"/>
      <c r="I12" s="262"/>
      <c r="J12" s="258"/>
      <c r="K12" s="39"/>
      <c r="L12" s="263"/>
      <c r="N12" s="65"/>
      <c r="O12" s="263"/>
      <c r="P12" s="2"/>
      <c r="Q12" s="3"/>
      <c r="R12" s="65"/>
      <c r="S12" s="258"/>
      <c r="T12" s="39"/>
      <c r="U12" s="263"/>
      <c r="V12" s="2"/>
      <c r="W12" s="65"/>
      <c r="X12" s="263"/>
      <c r="Y12" s="2"/>
      <c r="Z12" s="3"/>
      <c r="AA12" s="65"/>
    </row>
    <row r="13" spans="1:27" ht="14.1" customHeight="1" x14ac:dyDescent="0.2">
      <c r="A13" s="258" t="s">
        <v>127</v>
      </c>
      <c r="B13" s="39"/>
      <c r="C13" s="259">
        <f>SUM(C14:C16)</f>
        <v>179</v>
      </c>
      <c r="D13" s="261">
        <f>SUM(D14:D16)</f>
        <v>128</v>
      </c>
      <c r="E13" s="262">
        <f>(C13-D13)/D13</f>
        <v>0.3984375</v>
      </c>
      <c r="F13" s="261">
        <f>SUM(F14:F16)</f>
        <v>1691</v>
      </c>
      <c r="G13" s="261">
        <f>SUM(G14:G16)</f>
        <v>1699</v>
      </c>
      <c r="H13" s="260">
        <f>(F13-G13)/G13</f>
        <v>-4.7086521483225424E-3</v>
      </c>
      <c r="I13" s="262">
        <f>F13/$F$62</f>
        <v>6.9525818295445669E-3</v>
      </c>
      <c r="J13" s="258" t="s">
        <v>127</v>
      </c>
      <c r="K13" s="39"/>
      <c r="L13" s="259">
        <f>SUM(L14:L16)</f>
        <v>24026</v>
      </c>
      <c r="M13" s="261">
        <f>SUM(M14:M16)</f>
        <v>18878</v>
      </c>
      <c r="N13" s="262">
        <f>(L13-M13)/M13</f>
        <v>0.27269837906557898</v>
      </c>
      <c r="O13" s="259">
        <f>SUM(O14:O16)</f>
        <v>238326</v>
      </c>
      <c r="P13" s="261">
        <f>SUM(P14:P16)</f>
        <v>226793</v>
      </c>
      <c r="Q13" s="260">
        <f>(O13-P13)/P13</f>
        <v>5.0852539540462011E-2</v>
      </c>
      <c r="R13" s="262">
        <f>O13/$O$62</f>
        <v>8.3914319974513676E-3</v>
      </c>
      <c r="S13" s="258" t="s">
        <v>127</v>
      </c>
      <c r="T13" s="39"/>
      <c r="U13" s="259">
        <f>SUM(U14:U16)</f>
        <v>36116</v>
      </c>
      <c r="V13" s="261">
        <f>SUM(V14:V16)</f>
        <v>31843</v>
      </c>
      <c r="W13" s="262">
        <f>(U13-V13)/V13</f>
        <v>0.13418961781239205</v>
      </c>
      <c r="X13" s="259">
        <f>SUM(X14:X16)</f>
        <v>382360</v>
      </c>
      <c r="Y13" s="261">
        <f>SUM(Y14:Y16)</f>
        <v>313286</v>
      </c>
      <c r="Z13" s="260">
        <f>(X13-Y13)/Y13</f>
        <v>0.22048224306224984</v>
      </c>
      <c r="AA13" s="262">
        <f>X13/$X$62</f>
        <v>5.4216568095436677E-3</v>
      </c>
    </row>
    <row r="14" spans="1:27" ht="14.1" customHeight="1" x14ac:dyDescent="0.2">
      <c r="A14" s="258"/>
      <c r="B14" s="318" t="s">
        <v>127</v>
      </c>
      <c r="C14" s="322">
        <f>[3]Alaska!$IO$19</f>
        <v>179</v>
      </c>
      <c r="D14" s="217">
        <f>[3]Alaska!$IA$19</f>
        <v>128</v>
      </c>
      <c r="E14" s="324">
        <f>(C14-D14)/D14</f>
        <v>0.3984375</v>
      </c>
      <c r="F14" s="217">
        <f>SUM([3]Alaska!$IF$19:$IO$19)</f>
        <v>1691</v>
      </c>
      <c r="G14" s="217">
        <f>SUM([3]Alaska!$HR$19:$IA$19)</f>
        <v>1607</v>
      </c>
      <c r="H14" s="323">
        <f>(F14-G14)/G14</f>
        <v>5.2271313005600499E-2</v>
      </c>
      <c r="I14" s="324">
        <f>F14/$F$62</f>
        <v>6.9525818295445669E-3</v>
      </c>
      <c r="J14" s="258"/>
      <c r="K14" s="318" t="s">
        <v>127</v>
      </c>
      <c r="L14" s="322">
        <f>[3]Alaska!$IO$41</f>
        <v>24026</v>
      </c>
      <c r="M14" s="217">
        <f>[3]Alaska!$IA$41</f>
        <v>18878</v>
      </c>
      <c r="N14" s="324">
        <f>(L14-M14)/M14</f>
        <v>0.27269837906557898</v>
      </c>
      <c r="O14" s="322">
        <f>SUM([3]Alaska!$IF$41:$IO$41)</f>
        <v>238326</v>
      </c>
      <c r="P14" s="217">
        <f>SUM([3]Alaska!$HR$41:$IA$41)</f>
        <v>221422</v>
      </c>
      <c r="Q14" s="323">
        <f>(O14-P14)/P14</f>
        <v>7.6342910821869558E-2</v>
      </c>
      <c r="R14" s="324">
        <f>O14/$O$62</f>
        <v>8.3914319974513676E-3</v>
      </c>
      <c r="S14" s="258"/>
      <c r="T14" s="318" t="s">
        <v>127</v>
      </c>
      <c r="U14" s="322">
        <f>[3]Alaska!$IO$64</f>
        <v>36116</v>
      </c>
      <c r="V14" s="217">
        <f>[3]Alaska!$IA$64</f>
        <v>31843</v>
      </c>
      <c r="W14" s="324">
        <f>(U14-V14)/V14</f>
        <v>0.13418961781239205</v>
      </c>
      <c r="X14" s="322">
        <f>SUM([3]Alaska!$IF$64:$IO$64)</f>
        <v>382360</v>
      </c>
      <c r="Y14" s="217">
        <f>SUM([3]Alaska!$HR$64:$IA$64)</f>
        <v>305687</v>
      </c>
      <c r="Z14" s="323">
        <f>(X14-Y14)/Y14</f>
        <v>0.25082191915259727</v>
      </c>
      <c r="AA14" s="324">
        <f>X14/$X$62</f>
        <v>5.4216568095436677E-3</v>
      </c>
    </row>
    <row r="15" spans="1:27" ht="14.1" customHeight="1" x14ac:dyDescent="0.2">
      <c r="A15" s="258"/>
      <c r="B15" s="318" t="s">
        <v>97</v>
      </c>
      <c r="C15" s="263">
        <f>'[3]Sky West_AS'!$IO$19</f>
        <v>0</v>
      </c>
      <c r="D15" s="2">
        <f>'[3]Sky West_AS'!$IA$19</f>
        <v>0</v>
      </c>
      <c r="E15" s="65" t="e">
        <f>(C15-D15)/D15</f>
        <v>#DIV/0!</v>
      </c>
      <c r="F15" s="2">
        <f>SUM('[3]Sky West_AS'!$IF$19:$IO$19)</f>
        <v>0</v>
      </c>
      <c r="G15" s="2">
        <f>SUM('[3]Sky West_AS'!$HR$19:$IA$19)</f>
        <v>54</v>
      </c>
      <c r="H15" s="3">
        <f>(F15-G15)/G15</f>
        <v>-1</v>
      </c>
      <c r="I15" s="65">
        <f>F15/$F$62</f>
        <v>0</v>
      </c>
      <c r="J15" s="258"/>
      <c r="K15" s="318" t="s">
        <v>97</v>
      </c>
      <c r="L15" s="263">
        <f>'[3]Sky West_AS'!$IO$41</f>
        <v>0</v>
      </c>
      <c r="M15" s="2">
        <f>'[3]Sky West_AS'!$IA$41</f>
        <v>0</v>
      </c>
      <c r="N15" s="65" t="e">
        <f>(L15-M15)/M15</f>
        <v>#DIV/0!</v>
      </c>
      <c r="O15" s="263">
        <f>SUM('[3]Sky West_AS'!$IF$41:$IO$41)</f>
        <v>0</v>
      </c>
      <c r="P15" s="2">
        <f>SUM('[3]Sky West_AS'!$HR$41:$IA$41)</f>
        <v>2767</v>
      </c>
      <c r="Q15" s="3">
        <f>(O15-P15)/P15</f>
        <v>-1</v>
      </c>
      <c r="R15" s="324">
        <f>O15/$O$62</f>
        <v>0</v>
      </c>
      <c r="S15" s="258"/>
      <c r="T15" s="318" t="s">
        <v>97</v>
      </c>
      <c r="U15" s="263">
        <f>'[3]Sky West_AS'!$IO$64</f>
        <v>0</v>
      </c>
      <c r="V15" s="2">
        <f>'[3]Sky West_AS'!$IA$64</f>
        <v>0</v>
      </c>
      <c r="W15" s="65" t="e">
        <f>(U15-V15)/V15</f>
        <v>#DIV/0!</v>
      </c>
      <c r="X15" s="263">
        <f>SUM('[3]Sky West_AS'!$IF$64:$IO$64)</f>
        <v>0</v>
      </c>
      <c r="Y15" s="2">
        <f>SUM('[3]Sky West_AS'!$HR$64:$IA$64)</f>
        <v>4924</v>
      </c>
      <c r="Z15" s="3">
        <f>(X15-Y15)/Y15</f>
        <v>-1</v>
      </c>
      <c r="AA15" s="324">
        <f>X15/$X$62</f>
        <v>0</v>
      </c>
    </row>
    <row r="16" spans="1:27" ht="14.1" customHeight="1" x14ac:dyDescent="0.2">
      <c r="A16" s="258"/>
      <c r="B16" s="318" t="s">
        <v>186</v>
      </c>
      <c r="C16" s="263">
        <f>[3]Horizon_AS!$IO$19</f>
        <v>0</v>
      </c>
      <c r="D16" s="2">
        <f>[3]Horizon_AS!$IA$19</f>
        <v>0</v>
      </c>
      <c r="E16" s="65" t="e">
        <f>(C16-D16)/D16</f>
        <v>#DIV/0!</v>
      </c>
      <c r="F16" s="2">
        <f>SUM([3]Horizon_AS!$IF$19:$IO$19)</f>
        <v>0</v>
      </c>
      <c r="G16" s="2">
        <f>SUM([3]Horizon_AS!$HR$19:$IA$19)</f>
        <v>38</v>
      </c>
      <c r="H16" s="3">
        <f>(F16-G16)/G16</f>
        <v>-1</v>
      </c>
      <c r="I16" s="65">
        <f>F16/$F$62</f>
        <v>0</v>
      </c>
      <c r="J16" s="258"/>
      <c r="K16" s="318" t="s">
        <v>186</v>
      </c>
      <c r="L16" s="263">
        <f>[3]Horizon_AS!$IO$41</f>
        <v>0</v>
      </c>
      <c r="M16" s="2">
        <f>[3]Horizon_AS!$IA$41</f>
        <v>0</v>
      </c>
      <c r="N16" s="65" t="e">
        <f>(L16-M16)/M16</f>
        <v>#DIV/0!</v>
      </c>
      <c r="O16" s="263">
        <f>SUM([3]Horizon_AS!$IF$41:$IO$41)</f>
        <v>0</v>
      </c>
      <c r="P16" s="2">
        <f>SUM([3]Horizon_AS!$HR$41:$IA$41)</f>
        <v>2604</v>
      </c>
      <c r="Q16" s="3">
        <f>(O16-P16)/P16</f>
        <v>-1</v>
      </c>
      <c r="R16" s="324">
        <f>O16/$O$62</f>
        <v>0</v>
      </c>
      <c r="S16" s="258"/>
      <c r="T16" s="318" t="s">
        <v>186</v>
      </c>
      <c r="U16" s="263">
        <f>[3]Horizon_AS!$IO$64</f>
        <v>0</v>
      </c>
      <c r="V16" s="2">
        <f>[3]Horizon_AS!$IA$64</f>
        <v>0</v>
      </c>
      <c r="W16" s="65" t="e">
        <f>(U16-V16)/V16</f>
        <v>#DIV/0!</v>
      </c>
      <c r="X16" s="263">
        <f>SUM([3]Horizon_AS!$IF$64:$IO$64)</f>
        <v>0</v>
      </c>
      <c r="Y16" s="2">
        <f>SUM([3]Horizon_AS!$HR$64:$IA$64)</f>
        <v>2675</v>
      </c>
      <c r="Z16" s="3">
        <f>(X16-Y16)/Y16</f>
        <v>-1</v>
      </c>
      <c r="AA16" s="324">
        <f>X16/$X$62</f>
        <v>0</v>
      </c>
    </row>
    <row r="17" spans="1:27" ht="14.1" customHeight="1" x14ac:dyDescent="0.2">
      <c r="A17" s="258"/>
      <c r="B17" s="39"/>
      <c r="C17" s="259"/>
      <c r="D17" s="264"/>
      <c r="E17" s="262"/>
      <c r="F17" s="264"/>
      <c r="G17" s="264"/>
      <c r="H17" s="260"/>
      <c r="I17" s="262"/>
      <c r="J17" s="258"/>
      <c r="K17" s="39"/>
      <c r="L17" s="139"/>
      <c r="M17" s="95"/>
      <c r="N17" s="65"/>
      <c r="O17" s="139"/>
      <c r="P17" s="95"/>
      <c r="Q17" s="3"/>
      <c r="R17" s="65"/>
      <c r="S17" s="258"/>
      <c r="T17" s="39"/>
      <c r="U17" s="139"/>
      <c r="V17" s="95"/>
      <c r="W17" s="65"/>
      <c r="X17" s="139"/>
      <c r="Y17" s="95"/>
      <c r="Z17" s="3"/>
      <c r="AA17" s="65"/>
    </row>
    <row r="18" spans="1:27" ht="14.1" customHeight="1" x14ac:dyDescent="0.2">
      <c r="A18" s="258" t="s">
        <v>17</v>
      </c>
      <c r="B18" s="265"/>
      <c r="C18" s="259">
        <f>SUM(C19:C24)</f>
        <v>1154</v>
      </c>
      <c r="D18" s="261">
        <f>SUM(D19:D24)</f>
        <v>1006</v>
      </c>
      <c r="E18" s="262">
        <f t="shared" ref="E18:E24" si="12">(C18-D18)/D18</f>
        <v>0.14711729622266401</v>
      </c>
      <c r="F18" s="259">
        <f>SUM(F19:F24)</f>
        <v>11066</v>
      </c>
      <c r="G18" s="261">
        <f>SUM(G19:G24)</f>
        <v>10534</v>
      </c>
      <c r="H18" s="260">
        <f t="shared" ref="H18:H24" si="13">(F18-G18)/G18</f>
        <v>5.0503132713119424E-2</v>
      </c>
      <c r="I18" s="262">
        <f t="shared" ref="I18:I24" si="14">F18/$F$62</f>
        <v>4.5498090198545345E-2</v>
      </c>
      <c r="J18" s="258" t="s">
        <v>17</v>
      </c>
      <c r="K18" s="265"/>
      <c r="L18" s="259">
        <f>SUM(L19:L24)</f>
        <v>130934</v>
      </c>
      <c r="M18" s="261">
        <f>SUM(M19:M24)</f>
        <v>117180</v>
      </c>
      <c r="N18" s="262">
        <f t="shared" ref="N18:N24" si="15">(L18-M18)/M18</f>
        <v>0.11737497866530125</v>
      </c>
      <c r="O18" s="259">
        <f>SUM(O19:O24)</f>
        <v>1241177</v>
      </c>
      <c r="P18" s="261">
        <f>SUM(P19:P24)</f>
        <v>1166385</v>
      </c>
      <c r="Q18" s="260">
        <f t="shared" ref="Q18:Q24" si="16">(O18-P18)/P18</f>
        <v>6.4122909673906991E-2</v>
      </c>
      <c r="R18" s="262">
        <f t="shared" ref="R18:R24" si="17">O18/$O$62</f>
        <v>4.3701704355801278E-2</v>
      </c>
      <c r="S18" s="258" t="s">
        <v>17</v>
      </c>
      <c r="T18" s="265"/>
      <c r="U18" s="259">
        <f>SUM(U19:U24)</f>
        <v>37226</v>
      </c>
      <c r="V18" s="261">
        <f>SUM(V19:V24)</f>
        <v>75405</v>
      </c>
      <c r="W18" s="262">
        <f t="shared" ref="W18:W22" si="18">(U18-V18)/V18</f>
        <v>-0.50631920960148535</v>
      </c>
      <c r="X18" s="259">
        <f>SUM(X19:X24)</f>
        <v>487149</v>
      </c>
      <c r="Y18" s="261">
        <f>SUM(Y19:Y24)</f>
        <v>1057672</v>
      </c>
      <c r="Z18" s="260">
        <f t="shared" ref="Z18:Z22" si="19">(X18-Y18)/Y18</f>
        <v>-0.539413920383635</v>
      </c>
      <c r="AA18" s="262">
        <f t="shared" ref="AA18:AA24" si="20">X18/$X$62</f>
        <v>6.9075078279955751E-3</v>
      </c>
    </row>
    <row r="19" spans="1:27" ht="14.1" customHeight="1" x14ac:dyDescent="0.2">
      <c r="A19" s="37"/>
      <c r="B19" s="39" t="s">
        <v>17</v>
      </c>
      <c r="C19" s="263">
        <f>[3]American!$IO$19</f>
        <v>716</v>
      </c>
      <c r="D19" s="2">
        <f>[3]American!$IA$19</f>
        <v>574</v>
      </c>
      <c r="E19" s="65">
        <f t="shared" si="12"/>
        <v>0.24738675958188153</v>
      </c>
      <c r="F19" s="2">
        <f>SUM([3]American!$IF$19:$IO$19)</f>
        <v>6849</v>
      </c>
      <c r="G19" s="2">
        <f>SUM([3]American!$HR$19:$IA$19)</f>
        <v>5882</v>
      </c>
      <c r="H19" s="3">
        <f t="shared" si="13"/>
        <v>0.16439986399183951</v>
      </c>
      <c r="I19" s="65">
        <f t="shared" si="14"/>
        <v>2.8159806594057209E-2</v>
      </c>
      <c r="J19" s="37"/>
      <c r="K19" s="39" t="s">
        <v>17</v>
      </c>
      <c r="L19" s="263">
        <f>[3]American!$IO$41</f>
        <v>104794</v>
      </c>
      <c r="M19" s="2">
        <f>[3]American!$IA$41</f>
        <v>89833</v>
      </c>
      <c r="N19" s="65">
        <f t="shared" si="15"/>
        <v>0.16654236193826322</v>
      </c>
      <c r="O19" s="263">
        <f>SUM([3]American!$IF$41:$IO$41)</f>
        <v>997891</v>
      </c>
      <c r="P19" s="2">
        <f>SUM([3]American!$HR$41:$IA$41)</f>
        <v>892430</v>
      </c>
      <c r="Q19" s="3">
        <f t="shared" si="16"/>
        <v>0.11817285389330255</v>
      </c>
      <c r="R19" s="65">
        <f t="shared" si="17"/>
        <v>3.5135631309083953E-2</v>
      </c>
      <c r="S19" s="37"/>
      <c r="T19" s="39" t="s">
        <v>17</v>
      </c>
      <c r="U19" s="263">
        <f>[3]American!$IO$64</f>
        <v>32881</v>
      </c>
      <c r="V19" s="2">
        <f>[3]American!$IA$64</f>
        <v>74334</v>
      </c>
      <c r="W19" s="65">
        <f t="shared" si="18"/>
        <v>-0.55765867570694438</v>
      </c>
      <c r="X19" s="263">
        <f>SUM([3]American!$IF$64:$IO$64)</f>
        <v>459098</v>
      </c>
      <c r="Y19" s="2">
        <f>SUM([3]American!$HR$64:$IA$64)</f>
        <v>1022146</v>
      </c>
      <c r="Z19" s="3">
        <f t="shared" si="19"/>
        <v>-0.55084890025495381</v>
      </c>
      <c r="AA19" s="65">
        <f t="shared" si="20"/>
        <v>6.5097599067577118E-3</v>
      </c>
    </row>
    <row r="20" spans="1:27" ht="14.1" customHeight="1" x14ac:dyDescent="0.2">
      <c r="A20" s="37"/>
      <c r="B20" s="318" t="s">
        <v>163</v>
      </c>
      <c r="C20" s="263">
        <f>'[3]American Eagle'!$IO$19</f>
        <v>54</v>
      </c>
      <c r="D20" s="2">
        <f>'[3]American Eagle'!$IA$19</f>
        <v>120</v>
      </c>
      <c r="E20" s="65">
        <f t="shared" si="12"/>
        <v>-0.55000000000000004</v>
      </c>
      <c r="F20" s="2">
        <f>SUM('[3]American Eagle'!$IF$19:$IO$19)</f>
        <v>881</v>
      </c>
      <c r="G20" s="2">
        <f>SUM('[3]American Eagle'!$HR$19:$IA$19)</f>
        <v>1142</v>
      </c>
      <c r="H20" s="3">
        <f t="shared" si="13"/>
        <v>-0.22854640980735552</v>
      </c>
      <c r="I20" s="65">
        <f t="shared" si="14"/>
        <v>3.6222499064628997E-3</v>
      </c>
      <c r="J20" s="37"/>
      <c r="K20" s="318" t="s">
        <v>163</v>
      </c>
      <c r="L20" s="263">
        <f>'[3]American Eagle'!$IO$41</f>
        <v>3819</v>
      </c>
      <c r="M20" s="2">
        <f>'[3]American Eagle'!$IA$41</f>
        <v>7436</v>
      </c>
      <c r="N20" s="65">
        <f t="shared" si="15"/>
        <v>-0.48641742872512106</v>
      </c>
      <c r="O20" s="263">
        <f>SUM('[3]American Eagle'!$IF$41:$IO$41)</f>
        <v>54813</v>
      </c>
      <c r="P20" s="2">
        <f>SUM('[3]American Eagle'!$HR$41:$IA$41)</f>
        <v>61743</v>
      </c>
      <c r="Q20" s="3">
        <f t="shared" si="16"/>
        <v>-0.1122394441475147</v>
      </c>
      <c r="R20" s="65">
        <f t="shared" si="17"/>
        <v>1.9299596438336639E-3</v>
      </c>
      <c r="S20" s="37"/>
      <c r="T20" s="318" t="s">
        <v>163</v>
      </c>
      <c r="U20" s="263">
        <f>'[3]American Eagle'!$IO$64</f>
        <v>0</v>
      </c>
      <c r="V20" s="2">
        <f>'[3]American Eagle'!$IA$64</f>
        <v>957</v>
      </c>
      <c r="W20" s="65">
        <f t="shared" si="18"/>
        <v>-1</v>
      </c>
      <c r="X20" s="263">
        <f>SUM('[3]American Eagle'!$IF$64:$IO$64)</f>
        <v>6470</v>
      </c>
      <c r="Y20" s="2">
        <f>SUM('[3]American Eagle'!$HR$64:$IA$64)</f>
        <v>24883</v>
      </c>
      <c r="Z20" s="3">
        <f t="shared" si="19"/>
        <v>-0.73998312100630947</v>
      </c>
      <c r="AA20" s="65">
        <f t="shared" si="20"/>
        <v>9.174108054646807E-5</v>
      </c>
    </row>
    <row r="21" spans="1:27" ht="14.1" customHeight="1" x14ac:dyDescent="0.2">
      <c r="A21" s="37"/>
      <c r="B21" s="318" t="s">
        <v>52</v>
      </c>
      <c r="C21" s="263">
        <f>[3]Republic!$IO$19</f>
        <v>120</v>
      </c>
      <c r="D21" s="2">
        <f>[3]Republic!$IA$19</f>
        <v>226</v>
      </c>
      <c r="E21" s="65">
        <f t="shared" si="12"/>
        <v>-0.46902654867256638</v>
      </c>
      <c r="F21" s="2">
        <f>SUM([3]Republic!$IF$19:$IO$19)</f>
        <v>1712</v>
      </c>
      <c r="G21" s="2">
        <f>SUM([3]Republic!$HR$19:$IA$19)</f>
        <v>1856</v>
      </c>
      <c r="H21" s="3">
        <f t="shared" si="13"/>
        <v>-7.7586206896551727E-2</v>
      </c>
      <c r="I21" s="65">
        <f t="shared" si="14"/>
        <v>7.0389237682911285E-3</v>
      </c>
      <c r="J21" s="37"/>
      <c r="K21" s="266" t="s">
        <v>52</v>
      </c>
      <c r="L21" s="263">
        <f>[3]Republic!$IO$41</f>
        <v>7532</v>
      </c>
      <c r="M21" s="2">
        <f>[3]Republic!$IA$41</f>
        <v>14594</v>
      </c>
      <c r="N21" s="65">
        <f t="shared" si="15"/>
        <v>-0.48389749212004934</v>
      </c>
      <c r="O21" s="263">
        <f>SUM([3]Republic!$IF$41:$IO$41)</f>
        <v>105084</v>
      </c>
      <c r="P21" s="2">
        <f>SUM([3]Republic!$HR$41:$IA$41)</f>
        <v>111536</v>
      </c>
      <c r="Q21" s="3">
        <f t="shared" si="16"/>
        <v>-5.7846793860278294E-2</v>
      </c>
      <c r="R21" s="65">
        <f t="shared" si="17"/>
        <v>3.6999959719887024E-3</v>
      </c>
      <c r="S21" s="37"/>
      <c r="T21" s="266" t="s">
        <v>52</v>
      </c>
      <c r="U21" s="263">
        <f>[3]Republic!$IO$64</f>
        <v>2028</v>
      </c>
      <c r="V21" s="2">
        <f>[3]Republic!$IA$64</f>
        <v>114</v>
      </c>
      <c r="W21" s="65">
        <f t="shared" si="18"/>
        <v>16.789473684210527</v>
      </c>
      <c r="X21" s="263">
        <f>SUM([3]Republic!$IF$64:$IO$64)</f>
        <v>17653</v>
      </c>
      <c r="Y21" s="2">
        <f>SUM([3]Republic!$HR$64:$IA$64)</f>
        <v>6445</v>
      </c>
      <c r="Z21" s="3">
        <f t="shared" si="19"/>
        <v>1.739022498060512</v>
      </c>
      <c r="AA21" s="65">
        <f t="shared" si="20"/>
        <v>2.503099373859043E-4</v>
      </c>
    </row>
    <row r="22" spans="1:27" ht="14.1" customHeight="1" x14ac:dyDescent="0.2">
      <c r="A22" s="37"/>
      <c r="B22" s="318" t="s">
        <v>177</v>
      </c>
      <c r="C22" s="263">
        <f>[3]PSA!$IO$19</f>
        <v>124</v>
      </c>
      <c r="D22" s="2">
        <f>[3]PSA!$IA$19</f>
        <v>80</v>
      </c>
      <c r="E22" s="65">
        <f t="shared" si="12"/>
        <v>0.55000000000000004</v>
      </c>
      <c r="F22" s="2">
        <f>SUM([3]PSA!$IF$19:$IO$19)</f>
        <v>790</v>
      </c>
      <c r="G22" s="2">
        <f>SUM([3]PSA!$HR$19:$IA$19)</f>
        <v>1154</v>
      </c>
      <c r="H22" s="3">
        <f t="shared" si="13"/>
        <v>-0.31542461005199307</v>
      </c>
      <c r="I22" s="65">
        <f t="shared" si="14"/>
        <v>3.2481015052277986E-3</v>
      </c>
      <c r="J22" s="37"/>
      <c r="K22" s="318" t="s">
        <v>177</v>
      </c>
      <c r="L22" s="263">
        <f>[3]PSA!$IO$41</f>
        <v>8395</v>
      </c>
      <c r="M22" s="2">
        <f>[3]PSA!$IA$41</f>
        <v>4972</v>
      </c>
      <c r="N22" s="65">
        <f t="shared" si="15"/>
        <v>0.68845534995977475</v>
      </c>
      <c r="O22" s="263">
        <f>SUM([3]PSA!$IF$41:$IO$41)</f>
        <v>45509</v>
      </c>
      <c r="P22" s="2">
        <f>SUM([3]PSA!$HR$41:$IA$41)</f>
        <v>72794</v>
      </c>
      <c r="Q22" s="3">
        <f t="shared" si="16"/>
        <v>-0.37482484820177486</v>
      </c>
      <c r="R22" s="65">
        <f t="shared" si="17"/>
        <v>1.6023668369041324E-3</v>
      </c>
      <c r="S22" s="37"/>
      <c r="T22" s="318" t="s">
        <v>177</v>
      </c>
      <c r="U22" s="263">
        <f>[3]PSA!$IO$64</f>
        <v>254</v>
      </c>
      <c r="V22" s="2">
        <f>[3]PSA!$IA$64</f>
        <v>0</v>
      </c>
      <c r="W22" s="65" t="e">
        <f t="shared" si="18"/>
        <v>#DIV/0!</v>
      </c>
      <c r="X22" s="263">
        <f>SUM([3]PSA!$IF$64:$IO$64)</f>
        <v>471</v>
      </c>
      <c r="Y22" s="2">
        <f>SUM([3]PSA!$HR$64:$IA$64)</f>
        <v>1460</v>
      </c>
      <c r="Z22" s="3">
        <f t="shared" si="19"/>
        <v>-0.67739726027397262</v>
      </c>
      <c r="AA22" s="65">
        <f t="shared" si="20"/>
        <v>6.6785237924863151E-6</v>
      </c>
    </row>
    <row r="23" spans="1:27" ht="14.1" customHeight="1" x14ac:dyDescent="0.2">
      <c r="A23" s="37"/>
      <c r="B23" s="318" t="s">
        <v>97</v>
      </c>
      <c r="C23" s="263">
        <f>'[3]Sky West_AA'!$IO$19</f>
        <v>0</v>
      </c>
      <c r="D23" s="2">
        <f>'[3]Sky West_AA'!$IA$19</f>
        <v>6</v>
      </c>
      <c r="E23" s="65">
        <f>(C23-D23)/D23</f>
        <v>-1</v>
      </c>
      <c r="F23" s="2">
        <f>SUM('[3]Sky West_AA'!$IF$19:$IO$19)</f>
        <v>0</v>
      </c>
      <c r="G23" s="2">
        <f>SUM('[3]Sky West_AA'!$HR$19:$IA$19)</f>
        <v>494</v>
      </c>
      <c r="H23" s="3">
        <f>(F23-G23)/G23</f>
        <v>-1</v>
      </c>
      <c r="I23" s="65">
        <f t="shared" si="14"/>
        <v>0</v>
      </c>
      <c r="J23" s="37"/>
      <c r="K23" s="318" t="s">
        <v>97</v>
      </c>
      <c r="L23" s="263">
        <f>'[3]Sky West_AA'!$IO$41</f>
        <v>0</v>
      </c>
      <c r="M23" s="2">
        <f>'[3]Sky West_AA'!$IA$41</f>
        <v>345</v>
      </c>
      <c r="N23" s="65">
        <f>(L23-M23)/M23</f>
        <v>-1</v>
      </c>
      <c r="O23" s="263">
        <f>SUM('[3]Sky West_AA'!$IF$41:$IO$41)</f>
        <v>0</v>
      </c>
      <c r="P23" s="2">
        <f>SUM('[3]Sky West_AA'!$HR$41:$IA$41)</f>
        <v>27790</v>
      </c>
      <c r="Q23" s="3">
        <f>(O23-P23)/P23</f>
        <v>-1</v>
      </c>
      <c r="R23" s="324">
        <f t="shared" si="17"/>
        <v>0</v>
      </c>
      <c r="S23" s="37"/>
      <c r="T23" s="318" t="s">
        <v>97</v>
      </c>
      <c r="U23" s="263">
        <f>'[3]Sky West_AA'!$IO$64</f>
        <v>0</v>
      </c>
      <c r="V23" s="2">
        <f>'[3]Sky West_AA'!$IA$64</f>
        <v>0</v>
      </c>
      <c r="W23" s="65" t="e">
        <f>(U23-V23)/V23</f>
        <v>#DIV/0!</v>
      </c>
      <c r="X23" s="263">
        <f>SUM('[3]Sky West_AA'!$IF$64:$IO$64)</f>
        <v>0</v>
      </c>
      <c r="Y23" s="2">
        <f>SUM('[3]Sky West_AA'!$HR$64:$IA$64)</f>
        <v>2738</v>
      </c>
      <c r="Z23" s="3">
        <f>(X23-Y23)/Y23</f>
        <v>-1</v>
      </c>
      <c r="AA23" s="324">
        <f t="shared" si="20"/>
        <v>0</v>
      </c>
    </row>
    <row r="24" spans="1:27" ht="14.1" customHeight="1" x14ac:dyDescent="0.2">
      <c r="A24" s="37"/>
      <c r="B24" s="318" t="s">
        <v>50</v>
      </c>
      <c r="C24" s="263">
        <f>'[3]Air Wisconsin'!$IO$19</f>
        <v>140</v>
      </c>
      <c r="D24" s="2">
        <f>'[3]Air Wisconsin'!$IA$19</f>
        <v>0</v>
      </c>
      <c r="E24" s="65" t="e">
        <f t="shared" si="12"/>
        <v>#DIV/0!</v>
      </c>
      <c r="F24" s="2">
        <f>SUM('[3]Air Wisconsin'!$IF$19:$IO$19)</f>
        <v>834</v>
      </c>
      <c r="G24" s="2">
        <f>SUM('[3]Air Wisconsin'!$HR$19:$IA$19)</f>
        <v>6</v>
      </c>
      <c r="H24" s="349">
        <f t="shared" si="13"/>
        <v>138</v>
      </c>
      <c r="I24" s="65">
        <f t="shared" si="14"/>
        <v>3.4290084245063093E-3</v>
      </c>
      <c r="J24" s="37"/>
      <c r="K24" s="266" t="s">
        <v>50</v>
      </c>
      <c r="L24" s="263">
        <f>'[3]Air Wisconsin'!$IO$41</f>
        <v>6394</v>
      </c>
      <c r="M24" s="2">
        <f>'[3]Air Wisconsin'!$IA$41</f>
        <v>0</v>
      </c>
      <c r="N24" s="65" t="e">
        <f t="shared" si="15"/>
        <v>#DIV/0!</v>
      </c>
      <c r="O24" s="263">
        <f>SUM('[3]Air Wisconsin'!$IF$41:$IO$41)</f>
        <v>37880</v>
      </c>
      <c r="P24" s="2">
        <f>SUM('[3]Air Wisconsin'!$HR$41:$IA$41)</f>
        <v>92</v>
      </c>
      <c r="Q24" s="3">
        <f t="shared" si="16"/>
        <v>410.73913043478262</v>
      </c>
      <c r="R24" s="65">
        <f t="shared" si="17"/>
        <v>1.3337505939908269E-3</v>
      </c>
      <c r="S24" s="37"/>
      <c r="T24" s="266" t="s">
        <v>50</v>
      </c>
      <c r="U24" s="263">
        <f>'[3]Air Wisconsin'!$IO$64</f>
        <v>2063</v>
      </c>
      <c r="V24" s="2">
        <f>'[3]Air Wisconsin'!$IA$64</f>
        <v>0</v>
      </c>
      <c r="W24" s="65" t="e">
        <f t="shared" ref="W24" si="21">(U24-V24)/V24</f>
        <v>#DIV/0!</v>
      </c>
      <c r="X24" s="263">
        <f>SUM('[3]Air Wisconsin'!$IF$64:$IO$64)</f>
        <v>3457</v>
      </c>
      <c r="Y24" s="2">
        <f>SUM('[3]Air Wisconsin'!$HR$64:$IA$64)</f>
        <v>0</v>
      </c>
      <c r="Z24" s="3" t="e">
        <f t="shared" ref="Z24" si="22">(X24-Y24)/Y24</f>
        <v>#DIV/0!</v>
      </c>
      <c r="AA24" s="65">
        <f t="shared" si="20"/>
        <v>4.9018379513004651E-5</v>
      </c>
    </row>
    <row r="25" spans="1:27" ht="14.1" customHeight="1" x14ac:dyDescent="0.2">
      <c r="A25" s="37"/>
      <c r="B25" s="39"/>
      <c r="C25" s="263"/>
      <c r="E25" s="65"/>
      <c r="F25" s="2"/>
      <c r="I25" s="65"/>
      <c r="J25" s="37"/>
      <c r="K25" s="39"/>
      <c r="L25" s="263"/>
      <c r="N25" s="65"/>
      <c r="O25" s="263"/>
      <c r="P25" s="2"/>
      <c r="Q25" s="3"/>
      <c r="R25" s="65"/>
      <c r="S25" s="37"/>
      <c r="T25" s="39"/>
      <c r="U25" s="263"/>
      <c r="V25" s="2"/>
      <c r="W25" s="65"/>
      <c r="X25" s="263"/>
      <c r="Y25" s="2"/>
      <c r="Z25" s="3"/>
      <c r="AA25" s="65"/>
    </row>
    <row r="26" spans="1:27" ht="14.1" customHeight="1" x14ac:dyDescent="0.2">
      <c r="A26" s="258" t="s">
        <v>159</v>
      </c>
      <c r="B26" s="39"/>
      <c r="C26" s="259">
        <f>[3]Condor!$IO$19</f>
        <v>0</v>
      </c>
      <c r="D26" s="261">
        <f>[3]Condor!$IA$19</f>
        <v>0</v>
      </c>
      <c r="E26" s="262" t="e">
        <f>(C26-D26)/D26</f>
        <v>#DIV/0!</v>
      </c>
      <c r="F26" s="261">
        <f>SUM([3]Condor!$IF$19:$IO$19)</f>
        <v>88</v>
      </c>
      <c r="G26" s="261">
        <f>SUM([3]Condor!$HR$19:$IA$19)</f>
        <v>98</v>
      </c>
      <c r="H26" s="260">
        <f>(F26-G26)/G26</f>
        <v>-0.10204081632653061</v>
      </c>
      <c r="I26" s="262">
        <f>F26/$F$62</f>
        <v>3.6181383855702064E-4</v>
      </c>
      <c r="J26" s="258" t="s">
        <v>159</v>
      </c>
      <c r="K26" s="39"/>
      <c r="L26" s="259">
        <f>[3]Condor!$IO$41</f>
        <v>0</v>
      </c>
      <c r="M26" s="261">
        <f>[3]Condor!$IA$41</f>
        <v>0</v>
      </c>
      <c r="N26" s="262" t="e">
        <f>(L26-M26)/M26</f>
        <v>#DIV/0!</v>
      </c>
      <c r="O26" s="259">
        <f>SUM([3]Condor!$IF$41:$IO$41)</f>
        <v>19004</v>
      </c>
      <c r="P26" s="261">
        <f>SUM([3]Condor!$HR$41:$IA$41)</f>
        <v>19394</v>
      </c>
      <c r="Q26" s="260">
        <f>(O26-P26)/P26</f>
        <v>-2.0109312158399506E-2</v>
      </c>
      <c r="R26" s="262">
        <f>O26/$O$62</f>
        <v>6.6912872988916772E-4</v>
      </c>
      <c r="S26" s="258" t="s">
        <v>159</v>
      </c>
      <c r="T26" s="39"/>
      <c r="U26" s="259">
        <f>[3]Condor!$IO$64</f>
        <v>0</v>
      </c>
      <c r="V26" s="261">
        <f>[3]Condor!$IA$64</f>
        <v>0</v>
      </c>
      <c r="W26" s="262" t="e">
        <f>(U26-V26)/V26</f>
        <v>#DIV/0!</v>
      </c>
      <c r="X26" s="259">
        <f>SUM([3]Condor!$IF$64:$IO$64)</f>
        <v>262271</v>
      </c>
      <c r="Y26" s="261">
        <f>SUM([3]Condor!$HR$64:$IA$64)</f>
        <v>606468</v>
      </c>
      <c r="Z26" s="260">
        <f>(X26-Y26)/Y26</f>
        <v>-0.56754354722755362</v>
      </c>
      <c r="AA26" s="262">
        <f>X26/$X$62</f>
        <v>3.7188601137562172E-3</v>
      </c>
    </row>
    <row r="27" spans="1:27" ht="14.1" customHeight="1" x14ac:dyDescent="0.2">
      <c r="A27" s="37"/>
      <c r="B27" s="39"/>
      <c r="C27" s="263"/>
      <c r="E27" s="65"/>
      <c r="F27" s="2"/>
      <c r="I27" s="65"/>
      <c r="J27" s="37"/>
      <c r="K27" s="39"/>
      <c r="L27" s="263"/>
      <c r="N27" s="65"/>
      <c r="O27" s="263"/>
      <c r="P27" s="2"/>
      <c r="Q27" s="3"/>
      <c r="R27" s="65"/>
      <c r="S27" s="37"/>
      <c r="T27" s="39"/>
      <c r="U27" s="263"/>
      <c r="V27" s="2"/>
      <c r="W27" s="65"/>
      <c r="X27" s="263"/>
      <c r="Y27" s="2"/>
      <c r="Z27" s="3"/>
      <c r="AA27" s="65"/>
    </row>
    <row r="28" spans="1:27" ht="14.1" customHeight="1" x14ac:dyDescent="0.2">
      <c r="A28" s="258" t="s">
        <v>212</v>
      </c>
      <c r="B28" s="39"/>
      <c r="C28" s="259">
        <f>'[3]Denver Air'!$IO$19</f>
        <v>160</v>
      </c>
      <c r="D28" s="261">
        <f>'[3]Denver Air'!$IA$19</f>
        <v>154</v>
      </c>
      <c r="E28" s="262">
        <f>(C28-D28)/D28</f>
        <v>3.896103896103896E-2</v>
      </c>
      <c r="F28" s="261">
        <f>SUM('[3]Denver Air'!$IF$19:$IO$19)</f>
        <v>1530</v>
      </c>
      <c r="G28" s="261">
        <f>SUM('[3]Denver Air'!$HR$19:$IA$19)</f>
        <v>1574</v>
      </c>
      <c r="H28" s="260">
        <f>(F28-G28)/G28</f>
        <v>-2.795425667090216E-2</v>
      </c>
      <c r="I28" s="262">
        <f>F28/$F$62</f>
        <v>6.2906269658209264E-3</v>
      </c>
      <c r="J28" s="258" t="s">
        <v>212</v>
      </c>
      <c r="K28" s="39"/>
      <c r="L28" s="259">
        <f>'[3]Denver Air'!$IO$41</f>
        <v>1761</v>
      </c>
      <c r="M28" s="261">
        <f>'[3]Denver Air'!$IA$41</f>
        <v>1200</v>
      </c>
      <c r="N28" s="262">
        <f>(L28-M28)/M28</f>
        <v>0.46750000000000003</v>
      </c>
      <c r="O28" s="259">
        <f>SUM('[3]Denver Air'!$IF$41:$IO$41)</f>
        <v>16193</v>
      </c>
      <c r="P28" s="261">
        <f>SUM('[3]Denver Air'!$HR$41:$IA$41)</f>
        <v>15900</v>
      </c>
      <c r="Q28" s="260">
        <f>(O28-P28)/P28</f>
        <v>1.8427672955974844E-2</v>
      </c>
      <c r="R28" s="262">
        <f>O28/$O$62</f>
        <v>5.7015373200880307E-4</v>
      </c>
      <c r="S28" s="258" t="s">
        <v>212</v>
      </c>
      <c r="T28" s="39"/>
      <c r="U28" s="259">
        <f>'[3]Denver Air'!$IO$64</f>
        <v>0</v>
      </c>
      <c r="V28" s="261">
        <f>'[3]Denver Air'!$IA$64</f>
        <v>0</v>
      </c>
      <c r="W28" s="262" t="e">
        <f>(U28-V28)/V28</f>
        <v>#DIV/0!</v>
      </c>
      <c r="X28" s="259">
        <f>SUM('[3]Denver Air'!$IF$64:$IO$64)</f>
        <v>0</v>
      </c>
      <c r="Y28" s="261">
        <f>SUM('[3]Denver Air'!$HR$64:$IA$64)</f>
        <v>0</v>
      </c>
      <c r="Z28" s="260" t="e">
        <f>(X28-Y28)/Y28</f>
        <v>#DIV/0!</v>
      </c>
      <c r="AA28" s="262">
        <f>X28/$X$60</f>
        <v>0</v>
      </c>
    </row>
    <row r="29" spans="1:27" ht="14.1" customHeight="1" x14ac:dyDescent="0.2">
      <c r="A29" s="37"/>
      <c r="B29" s="39"/>
      <c r="C29" s="263"/>
      <c r="E29" s="65"/>
      <c r="F29" s="2"/>
      <c r="I29" s="65"/>
      <c r="J29" s="37"/>
      <c r="K29" s="39"/>
      <c r="L29" s="263"/>
      <c r="N29" s="65"/>
      <c r="O29" s="263"/>
      <c r="P29" s="2"/>
      <c r="Q29" s="3"/>
      <c r="R29" s="65"/>
      <c r="S29" s="37"/>
      <c r="T29" s="39"/>
      <c r="U29" s="263"/>
      <c r="V29" s="2"/>
      <c r="W29" s="65"/>
      <c r="X29" s="263"/>
      <c r="Y29" s="2"/>
      <c r="Z29" s="3"/>
      <c r="AA29" s="65"/>
    </row>
    <row r="30" spans="1:27" ht="14.1" customHeight="1" x14ac:dyDescent="0.2">
      <c r="A30" s="258" t="s">
        <v>18</v>
      </c>
      <c r="B30" s="265"/>
      <c r="C30" s="259">
        <f>SUM(C31:C34)</f>
        <v>18365</v>
      </c>
      <c r="D30" s="261">
        <f>SUM(D31:D34)</f>
        <v>16816</v>
      </c>
      <c r="E30" s="262">
        <f t="shared" ref="E30:E34" si="23">(C30-D30)/D30</f>
        <v>9.2114652711703146E-2</v>
      </c>
      <c r="F30" s="264">
        <f>SUM(F31:F34)</f>
        <v>176789</v>
      </c>
      <c r="G30" s="264">
        <f>SUM(G31:G34)</f>
        <v>173895</v>
      </c>
      <c r="H30" s="260">
        <f>(F30-G30)/G30</f>
        <v>1.6642226631012967E-2</v>
      </c>
      <c r="I30" s="262">
        <f>F30/$F$62</f>
        <v>0.72687166709837636</v>
      </c>
      <c r="J30" s="258" t="s">
        <v>18</v>
      </c>
      <c r="K30" s="265"/>
      <c r="L30" s="259">
        <f>SUM(L31:L34)</f>
        <v>2028148</v>
      </c>
      <c r="M30" s="261">
        <f>SUM(M31:M34)</f>
        <v>1849400</v>
      </c>
      <c r="N30" s="262">
        <f t="shared" ref="N30:N34" si="24">(L30-M30)/M30</f>
        <v>9.6651887098518435E-2</v>
      </c>
      <c r="O30" s="259">
        <f>SUM(O31:O34)</f>
        <v>19980194</v>
      </c>
      <c r="P30" s="261">
        <f>SUM(P31:P34)</f>
        <v>18133350</v>
      </c>
      <c r="Q30" s="260">
        <f t="shared" ref="Q30:Q34" si="25">(O30-P30)/P30</f>
        <v>0.10184792109566075</v>
      </c>
      <c r="R30" s="262">
        <f>O30/$O$62</f>
        <v>0.70350041223738002</v>
      </c>
      <c r="S30" s="258" t="s">
        <v>18</v>
      </c>
      <c r="T30" s="265"/>
      <c r="U30" s="259">
        <f>SUM(U31:U34)</f>
        <v>7390119</v>
      </c>
      <c r="V30" s="261">
        <f>SUM(V31:V34)</f>
        <v>8026189</v>
      </c>
      <c r="W30" s="262">
        <f t="shared" ref="W30:W34" si="26">(U30-V30)/V30</f>
        <v>-7.9249317453152418E-2</v>
      </c>
      <c r="X30" s="259">
        <f>SUM(X31:X34)</f>
        <v>61824710</v>
      </c>
      <c r="Y30" s="261">
        <f>SUM(Y31:Y34)</f>
        <v>67441774</v>
      </c>
      <c r="Z30" s="260">
        <f t="shared" ref="Z30:Z32" si="27">(X30-Y30)/Y30</f>
        <v>-8.3287607470111921E-2</v>
      </c>
      <c r="AA30" s="262">
        <f>X30/$X$62</f>
        <v>0.87664075732179747</v>
      </c>
    </row>
    <row r="31" spans="1:27" ht="14.1" customHeight="1" x14ac:dyDescent="0.2">
      <c r="A31" s="37"/>
      <c r="B31" s="39" t="s">
        <v>18</v>
      </c>
      <c r="C31" s="263">
        <f>[3]Delta!$IO$19</f>
        <v>12939</v>
      </c>
      <c r="D31" s="2">
        <f>[3]Delta!$IA$19</f>
        <v>10102</v>
      </c>
      <c r="E31" s="65">
        <f t="shared" si="23"/>
        <v>0.28083547812314391</v>
      </c>
      <c r="F31" s="2">
        <f>SUM([3]Delta!$IF$19:$IO$19)</f>
        <v>122079</v>
      </c>
      <c r="G31" s="2">
        <f>SUM([3]Delta!$HR$19:$IA$19)</f>
        <v>100504</v>
      </c>
      <c r="H31" s="3">
        <f t="shared" ref="H31:H34" si="28">(F31-G31)/G31</f>
        <v>0.21466807291252091</v>
      </c>
      <c r="I31" s="65">
        <f>F31/$F$62</f>
        <v>0.50193035905911954</v>
      </c>
      <c r="J31" s="37"/>
      <c r="K31" s="39" t="s">
        <v>18</v>
      </c>
      <c r="L31" s="263">
        <f>[3]Delta!$IO$41</f>
        <v>1778987</v>
      </c>
      <c r="M31" s="2">
        <f>[3]Delta!$IA$41</f>
        <v>1455656</v>
      </c>
      <c r="N31" s="65">
        <f t="shared" si="24"/>
        <v>0.22212047351846864</v>
      </c>
      <c r="O31" s="263">
        <f>SUM([3]Delta!$IF$41:$IO$41)</f>
        <v>17079548</v>
      </c>
      <c r="P31" s="2">
        <f>SUM([3]Delta!$HR$41:$IA$41)</f>
        <v>14256022</v>
      </c>
      <c r="Q31" s="3">
        <f t="shared" si="25"/>
        <v>0.19805847662131834</v>
      </c>
      <c r="R31" s="65">
        <f>O31/$O$62</f>
        <v>0.60136898865086696</v>
      </c>
      <c r="S31" s="37"/>
      <c r="T31" s="39" t="s">
        <v>18</v>
      </c>
      <c r="U31" s="263">
        <f>[3]Delta!$IO$64</f>
        <v>7390119</v>
      </c>
      <c r="V31" s="2">
        <f>[3]Delta!$IA$64</f>
        <v>8026189</v>
      </c>
      <c r="W31" s="65">
        <f t="shared" si="26"/>
        <v>-7.9249317453152418E-2</v>
      </c>
      <c r="X31" s="263">
        <f>SUM([3]Delta!$IF$64:$IO$64)</f>
        <v>61824710</v>
      </c>
      <c r="Y31" s="2">
        <f>SUM([3]Delta!$HR$64:$IA$64)</f>
        <v>67441774</v>
      </c>
      <c r="Z31" s="3">
        <f t="shared" si="27"/>
        <v>-8.3287607470111921E-2</v>
      </c>
      <c r="AA31" s="65">
        <f>X31/$X$62</f>
        <v>0.87664075732179747</v>
      </c>
    </row>
    <row r="32" spans="1:27" ht="14.1" customHeight="1" x14ac:dyDescent="0.2">
      <c r="A32" s="37"/>
      <c r="B32" s="39" t="s">
        <v>156</v>
      </c>
      <c r="C32" s="263">
        <f>[3]Pinnacle!$IO$19</f>
        <v>1350</v>
      </c>
      <c r="D32" s="2">
        <f>[3]Pinnacle!$IA$19</f>
        <v>1434</v>
      </c>
      <c r="E32" s="65">
        <f t="shared" si="23"/>
        <v>-5.8577405857740586E-2</v>
      </c>
      <c r="F32" s="2">
        <f>SUM([3]Pinnacle!$IF$19:$IO$19)</f>
        <v>13763</v>
      </c>
      <c r="G32" s="2">
        <f>SUM([3]Pinnacle!$HR$19:$IA$19)</f>
        <v>15082</v>
      </c>
      <c r="H32" s="3">
        <f t="shared" si="28"/>
        <v>-8.7455244662511603E-2</v>
      </c>
      <c r="I32" s="65">
        <f>F32/$F$62</f>
        <v>5.658686204613949E-2</v>
      </c>
      <c r="J32" s="37"/>
      <c r="K32" s="39" t="s">
        <v>156</v>
      </c>
      <c r="L32" s="263">
        <f>[3]Pinnacle!$IO$41</f>
        <v>56472</v>
      </c>
      <c r="M32" s="2">
        <f>[3]Pinnacle!$IA$41</f>
        <v>74427</v>
      </c>
      <c r="N32" s="65">
        <f t="shared" si="24"/>
        <v>-0.24124309726309001</v>
      </c>
      <c r="O32" s="263">
        <f>SUM([3]Pinnacle!$IF$41:$IO$41)</f>
        <v>830543</v>
      </c>
      <c r="P32" s="2">
        <f>SUM([3]Pinnacle!$HR$41:$IA$41)</f>
        <v>759642</v>
      </c>
      <c r="Q32" s="3">
        <f t="shared" si="25"/>
        <v>9.3334755055670959E-2</v>
      </c>
      <c r="R32" s="65">
        <f>O32/$O$62</f>
        <v>2.9243326810584037E-2</v>
      </c>
      <c r="S32" s="37"/>
      <c r="T32" s="39" t="s">
        <v>156</v>
      </c>
      <c r="U32" s="263">
        <f>[3]Pinnacle!$IO$64</f>
        <v>0</v>
      </c>
      <c r="V32" s="2">
        <f>[3]Pinnacle!$IA$64</f>
        <v>0</v>
      </c>
      <c r="W32" s="65" t="e">
        <f t="shared" si="26"/>
        <v>#DIV/0!</v>
      </c>
      <c r="X32" s="263">
        <f>SUM([3]Pinnacle!$IF$64:$IO$64)</f>
        <v>0</v>
      </c>
      <c r="Y32" s="2">
        <f>SUM([3]Pinnacle!$HR$64:$IA$64)</f>
        <v>0</v>
      </c>
      <c r="Z32" s="3" t="e">
        <f t="shared" si="27"/>
        <v>#DIV/0!</v>
      </c>
      <c r="AA32" s="65">
        <f>X32/$X$62</f>
        <v>0</v>
      </c>
    </row>
    <row r="33" spans="1:27" ht="14.1" customHeight="1" x14ac:dyDescent="0.2">
      <c r="A33" s="37"/>
      <c r="B33" s="39" t="s">
        <v>97</v>
      </c>
      <c r="C33" s="263">
        <f>'[3]Sky West'!$IO$19</f>
        <v>4076</v>
      </c>
      <c r="D33" s="2">
        <f>'[3]Sky West'!$IA$19</f>
        <v>5280</v>
      </c>
      <c r="E33" s="65">
        <f t="shared" si="23"/>
        <v>-0.22803030303030303</v>
      </c>
      <c r="F33" s="2">
        <f>SUM('[3]Sky West'!$IF$19:$IO$19)</f>
        <v>40947</v>
      </c>
      <c r="G33" s="2">
        <f>SUM('[3]Sky West'!$HR$19:$IA$19)</f>
        <v>58309</v>
      </c>
      <c r="H33" s="3">
        <f t="shared" si="28"/>
        <v>-0.29775849354302081</v>
      </c>
      <c r="I33" s="65">
        <f>F33/$F$62</f>
        <v>0.1683544459931173</v>
      </c>
      <c r="J33" s="37"/>
      <c r="K33" s="39" t="s">
        <v>97</v>
      </c>
      <c r="L33" s="263">
        <f>'[3]Sky West'!$IO$41</f>
        <v>192689</v>
      </c>
      <c r="M33" s="2">
        <f>'[3]Sky West'!$IA$41</f>
        <v>319317</v>
      </c>
      <c r="N33" s="65">
        <f t="shared" si="24"/>
        <v>-0.39655890541374245</v>
      </c>
      <c r="O33" s="263">
        <f>SUM('[3]Sky West'!$IF$41:$IO$41)</f>
        <v>2070103</v>
      </c>
      <c r="P33" s="2">
        <f>SUM('[3]Sky West'!$HR$41:$IA$41)</f>
        <v>3117686</v>
      </c>
      <c r="Q33" s="3">
        <f t="shared" si="25"/>
        <v>-0.33601299168678306</v>
      </c>
      <c r="R33" s="65">
        <f>O33/$O$62</f>
        <v>7.2888096775929057E-2</v>
      </c>
      <c r="S33" s="37"/>
      <c r="T33" s="39" t="s">
        <v>97</v>
      </c>
      <c r="U33" s="263">
        <f>'[3]Sky West'!$IO$64</f>
        <v>0</v>
      </c>
      <c r="V33" s="2">
        <f>'[3]Sky West'!$IA$64</f>
        <v>0</v>
      </c>
      <c r="W33" s="65" t="e">
        <f t="shared" si="26"/>
        <v>#DIV/0!</v>
      </c>
      <c r="X33" s="263">
        <f>SUM('[3]Sky West'!$IF$64:$IO$64)</f>
        <v>0</v>
      </c>
      <c r="Y33" s="2">
        <f>SUM('[3]Sky West'!$HR$64:$IA$64)</f>
        <v>0</v>
      </c>
      <c r="Z33" s="3" t="e">
        <f t="shared" ref="Z33:Z34" si="29">(X33-Y33)/Y33</f>
        <v>#DIV/0!</v>
      </c>
      <c r="AA33" s="65">
        <f>X33/$X$62</f>
        <v>0</v>
      </c>
    </row>
    <row r="34" spans="1:27" ht="14.1" customHeight="1" x14ac:dyDescent="0.2">
      <c r="A34" s="37"/>
      <c r="B34" s="318" t="s">
        <v>164</v>
      </c>
      <c r="C34" s="263">
        <f>'[3]Atlantic Southeast'!$IO$19</f>
        <v>0</v>
      </c>
      <c r="D34" s="2">
        <f>'[3]Atlantic Southeast'!$IA$19</f>
        <v>0</v>
      </c>
      <c r="E34" s="65" t="e">
        <f t="shared" si="23"/>
        <v>#DIV/0!</v>
      </c>
      <c r="F34" s="2">
        <f>SUM('[3]Atlantic Southeast'!$IF$19:$IO$19)</f>
        <v>0</v>
      </c>
      <c r="G34" s="2">
        <f>SUM('[3]Atlantic Southeast'!$HR$19:$IA$19)</f>
        <v>0</v>
      </c>
      <c r="H34" s="3" t="e">
        <f t="shared" si="28"/>
        <v>#DIV/0!</v>
      </c>
      <c r="I34" s="65">
        <f>F34/$F$62</f>
        <v>0</v>
      </c>
      <c r="J34" s="37"/>
      <c r="K34" s="318" t="s">
        <v>164</v>
      </c>
      <c r="L34" s="263">
        <f>'[3]Atlantic Southeast'!$IO$41</f>
        <v>0</v>
      </c>
      <c r="M34" s="2">
        <f>'[3]Atlantic Southeast'!$IA$41</f>
        <v>0</v>
      </c>
      <c r="N34" s="65" t="e">
        <f t="shared" si="24"/>
        <v>#DIV/0!</v>
      </c>
      <c r="O34" s="263">
        <f>SUM('[3]Atlantic Southeast'!$IF$41:$IO$41)</f>
        <v>0</v>
      </c>
      <c r="P34" s="2">
        <f>SUM('[3]Atlantic Southeast'!$HR$41:$IA$41)</f>
        <v>0</v>
      </c>
      <c r="Q34" s="3" t="e">
        <f t="shared" si="25"/>
        <v>#DIV/0!</v>
      </c>
      <c r="R34" s="65">
        <f>O34/$O$62</f>
        <v>0</v>
      </c>
      <c r="S34" s="37"/>
      <c r="T34" s="318" t="s">
        <v>164</v>
      </c>
      <c r="U34" s="263">
        <f>'[3]Atlantic Southeast'!$IO$64</f>
        <v>0</v>
      </c>
      <c r="V34" s="2">
        <f>'[3]Atlantic Southeast'!$IA$64</f>
        <v>0</v>
      </c>
      <c r="W34" s="65" t="e">
        <f t="shared" si="26"/>
        <v>#DIV/0!</v>
      </c>
      <c r="X34" s="263">
        <f>SUM('[3]Atlantic Southeast'!$IF$64:$IO$64)</f>
        <v>0</v>
      </c>
      <c r="Y34" s="2">
        <f>SUM('[3]Atlantic Southeast'!$HR$64:$IA$64)</f>
        <v>0</v>
      </c>
      <c r="Z34" s="3" t="e">
        <f t="shared" si="29"/>
        <v>#DIV/0!</v>
      </c>
      <c r="AA34" s="65">
        <f>X34/$X$62</f>
        <v>0</v>
      </c>
    </row>
    <row r="35" spans="1:27" ht="14.1" customHeight="1" x14ac:dyDescent="0.2">
      <c r="A35" s="37"/>
      <c r="B35" s="318"/>
      <c r="C35" s="263"/>
      <c r="E35" s="65"/>
      <c r="F35" s="2"/>
      <c r="I35" s="65"/>
      <c r="J35" s="37"/>
      <c r="K35" s="318"/>
      <c r="L35" s="263"/>
      <c r="N35" s="65"/>
      <c r="O35" s="263"/>
      <c r="P35" s="2"/>
      <c r="Q35" s="3"/>
      <c r="R35" s="65"/>
      <c r="S35" s="37"/>
      <c r="T35" s="318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47</v>
      </c>
      <c r="B36" s="39"/>
      <c r="C36" s="259">
        <f>[3]Frontier!$IO$19</f>
        <v>124</v>
      </c>
      <c r="D36" s="261">
        <f>[3]Frontier!$IA$19</f>
        <v>102</v>
      </c>
      <c r="E36" s="262">
        <f>(C36-D36)/D36</f>
        <v>0.21568627450980393</v>
      </c>
      <c r="F36" s="261">
        <f>SUM([3]Frontier!$IF$19:$IO$19)</f>
        <v>1186</v>
      </c>
      <c r="G36" s="261">
        <f>SUM([3]Frontier!$HR$19:$IA$19)</f>
        <v>1110</v>
      </c>
      <c r="H36" s="260">
        <f>(F36-G36)/G36</f>
        <v>6.8468468468468463E-2</v>
      </c>
      <c r="I36" s="262">
        <f>F36/$F$62</f>
        <v>4.8762637787343917E-3</v>
      </c>
      <c r="J36" s="258" t="s">
        <v>47</v>
      </c>
      <c r="K36" s="39"/>
      <c r="L36" s="259">
        <f>[3]Frontier!$IO$41</f>
        <v>21230</v>
      </c>
      <c r="M36" s="261">
        <f>[3]Frontier!$IA$41</f>
        <v>16586</v>
      </c>
      <c r="N36" s="262">
        <f>(L36-M36)/M36</f>
        <v>0.27999517665501023</v>
      </c>
      <c r="O36" s="259">
        <f>SUM([3]Frontier!$IF$41:$IO$41)</f>
        <v>199492</v>
      </c>
      <c r="P36" s="261">
        <f>SUM([3]Frontier!$HR$41:$IA$41)</f>
        <v>163937</v>
      </c>
      <c r="Q36" s="260">
        <f>(O36-P36)/P36</f>
        <v>0.21688209495110927</v>
      </c>
      <c r="R36" s="262">
        <f>O36/$O$62</f>
        <v>7.0240911693880154E-3</v>
      </c>
      <c r="S36" s="258" t="s">
        <v>47</v>
      </c>
      <c r="T36" s="39"/>
      <c r="U36" s="259">
        <f>[3]Frontier!$IO$64</f>
        <v>0</v>
      </c>
      <c r="V36" s="261">
        <f>[3]Frontier!$IA$64</f>
        <v>0</v>
      </c>
      <c r="W36" s="262" t="e">
        <f>(U36-V36)/V36</f>
        <v>#DIV/0!</v>
      </c>
      <c r="X36" s="259">
        <f>SUM([3]Frontier!$IF$64:$IO$64)</f>
        <v>0</v>
      </c>
      <c r="Y36" s="261">
        <f>SUM([3]Frontier!$HR$64:$IA$64)</f>
        <v>0</v>
      </c>
      <c r="Z36" s="260" t="e">
        <f>(X36-Y36)/Y36</f>
        <v>#DIV/0!</v>
      </c>
      <c r="AA36" s="262">
        <f>X36/$X$62</f>
        <v>0</v>
      </c>
    </row>
    <row r="37" spans="1:27" ht="14.1" customHeight="1" x14ac:dyDescent="0.2">
      <c r="A37" s="258"/>
      <c r="B37" s="39"/>
      <c r="C37" s="259"/>
      <c r="D37" s="261"/>
      <c r="E37" s="262"/>
      <c r="F37" s="261"/>
      <c r="G37" s="261"/>
      <c r="H37" s="260"/>
      <c r="I37" s="262"/>
      <c r="J37" s="258"/>
      <c r="K37" s="39"/>
      <c r="L37" s="263"/>
      <c r="N37" s="65"/>
      <c r="O37" s="263"/>
      <c r="P37" s="2"/>
      <c r="Q37" s="3"/>
      <c r="R37" s="65"/>
      <c r="S37" s="258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48</v>
      </c>
      <c r="B38" s="39"/>
      <c r="C38" s="259">
        <f>[3]Icelandair!$IO$19</f>
        <v>36</v>
      </c>
      <c r="D38" s="261">
        <f>[3]Icelandair!$IA$19</f>
        <v>38</v>
      </c>
      <c r="E38" s="262">
        <f>(C38-D38)/D38</f>
        <v>-5.2631578947368418E-2</v>
      </c>
      <c r="F38" s="261">
        <f>SUM([3]Icelandair!$IF$19:$IO$19)</f>
        <v>390</v>
      </c>
      <c r="G38" s="261">
        <f>SUM([3]Icelandair!$HR$19:$IA$19)</f>
        <v>342</v>
      </c>
      <c r="H38" s="260">
        <f>(F38-G38)/G38</f>
        <v>0.14035087719298245</v>
      </c>
      <c r="I38" s="262">
        <f>F38/$F$62</f>
        <v>1.6034931481504323E-3</v>
      </c>
      <c r="J38" s="258" t="s">
        <v>48</v>
      </c>
      <c r="K38" s="39"/>
      <c r="L38" s="259">
        <f>[3]Icelandair!$IO$41</f>
        <v>5289</v>
      </c>
      <c r="M38" s="261">
        <f>[3]Icelandair!$IA$41</f>
        <v>5580</v>
      </c>
      <c r="N38" s="262">
        <f>(L38-M38)/M38</f>
        <v>-5.2150537634408599E-2</v>
      </c>
      <c r="O38" s="259">
        <f>SUM([3]Icelandair!$IF$41:$IO$41)</f>
        <v>66675</v>
      </c>
      <c r="P38" s="261">
        <f>SUM([3]Icelandair!$HR$41:$IA$41)</f>
        <v>50105</v>
      </c>
      <c r="Q38" s="260">
        <f>(O38-P38)/P38</f>
        <v>0.33070551841133622</v>
      </c>
      <c r="R38" s="262">
        <f>O38/$O$62</f>
        <v>2.3476193467354377E-3</v>
      </c>
      <c r="S38" s="258" t="s">
        <v>48</v>
      </c>
      <c r="T38" s="39"/>
      <c r="U38" s="259">
        <f>[3]Icelandair!$IO$64</f>
        <v>1708</v>
      </c>
      <c r="V38" s="261">
        <f>[3]Icelandair!$IA$64</f>
        <v>3064</v>
      </c>
      <c r="W38" s="262">
        <f>(U38-V38)/V38</f>
        <v>-0.44255874673629242</v>
      </c>
      <c r="X38" s="259">
        <f>SUM([3]Icelandair!$IF$64:$IO$64)</f>
        <v>7805</v>
      </c>
      <c r="Y38" s="261">
        <f>SUM([3]Icelandair!$HR$64:$IA$64)</f>
        <v>59603</v>
      </c>
      <c r="Z38" s="260">
        <f>(X38-Y38)/Y38</f>
        <v>-0.86905021559317486</v>
      </c>
      <c r="AA38" s="262">
        <f>X38/$X$62</f>
        <v>1.1067065435319679E-4</v>
      </c>
    </row>
    <row r="39" spans="1:27" ht="14.1" customHeight="1" x14ac:dyDescent="0.2">
      <c r="A39" s="258"/>
      <c r="B39" s="39"/>
      <c r="C39" s="259"/>
      <c r="D39" s="261"/>
      <c r="E39" s="262"/>
      <c r="F39" s="261"/>
      <c r="G39" s="261"/>
      <c r="H39" s="260"/>
      <c r="I39" s="262"/>
      <c r="J39" s="258"/>
      <c r="K39" s="39"/>
      <c r="L39" s="263"/>
      <c r="N39" s="65"/>
      <c r="O39" s="263"/>
      <c r="P39" s="2"/>
      <c r="Q39" s="3"/>
      <c r="R39" s="65"/>
      <c r="S39" s="258"/>
      <c r="T39" s="39"/>
      <c r="U39" s="263"/>
      <c r="V39" s="2"/>
      <c r="W39" s="65"/>
      <c r="X39" s="263"/>
      <c r="Y39" s="2"/>
      <c r="Z39" s="3"/>
      <c r="AA39" s="65"/>
    </row>
    <row r="40" spans="1:27" ht="14.1" customHeight="1" x14ac:dyDescent="0.2">
      <c r="A40" s="258" t="s">
        <v>192</v>
      </c>
      <c r="B40" s="39"/>
      <c r="C40" s="259">
        <f>'[3]Jet Blue'!$IO$19</f>
        <v>118</v>
      </c>
      <c r="D40" s="261">
        <f>'[3]Jet Blue'!$IA$19</f>
        <v>219</v>
      </c>
      <c r="E40" s="262">
        <f>(C40-D40)/D40</f>
        <v>-0.46118721461187212</v>
      </c>
      <c r="F40" s="261">
        <f>SUM('[3]Jet Blue'!$IF$19:$IO$19)</f>
        <v>963</v>
      </c>
      <c r="G40" s="261">
        <f>SUM('[3]Jet Blue'!$HR$19:$IA$19)</f>
        <v>1581</v>
      </c>
      <c r="H40" s="260">
        <f>(F40-G40)/G40</f>
        <v>-0.39089184060721061</v>
      </c>
      <c r="I40" s="262">
        <f>F40/$F$62</f>
        <v>3.9593946196637602E-3</v>
      </c>
      <c r="J40" s="258" t="s">
        <v>192</v>
      </c>
      <c r="K40" s="39"/>
      <c r="L40" s="259">
        <f>'[3]Jet Blue'!$IO$41</f>
        <v>13745</v>
      </c>
      <c r="M40" s="261">
        <f>'[3]Jet Blue'!$IA$41</f>
        <v>22400</v>
      </c>
      <c r="N40" s="262">
        <f>(L40-M40)/M40</f>
        <v>-0.38638392857142856</v>
      </c>
      <c r="O40" s="259">
        <f>SUM('[3]Jet Blue'!$IF$41:$IO$41)</f>
        <v>96716</v>
      </c>
      <c r="P40" s="261">
        <f>SUM('[3]Jet Blue'!$HR$41:$IA$41)</f>
        <v>146941</v>
      </c>
      <c r="Q40" s="260">
        <f>(O40-P40)/P40</f>
        <v>-0.34180385324722168</v>
      </c>
      <c r="R40" s="262">
        <f>O40/$O$62</f>
        <v>3.4053596211303275E-3</v>
      </c>
      <c r="S40" s="258" t="s">
        <v>192</v>
      </c>
      <c r="T40" s="39"/>
      <c r="U40" s="259">
        <f>'[3]Jet Blue'!$IO$64</f>
        <v>0</v>
      </c>
      <c r="V40" s="261">
        <f>'[3]Jet Blue'!$IA$64</f>
        <v>0</v>
      </c>
      <c r="W40" s="262" t="e">
        <f>(U40-V40)/V40</f>
        <v>#DIV/0!</v>
      </c>
      <c r="X40" s="259">
        <f>SUM('[3]Jet Blue'!$IF$64:$IO$64)</f>
        <v>0</v>
      </c>
      <c r="Y40" s="261">
        <f>SUM('[3]Jet Blue'!$HR$64:$IA$64)</f>
        <v>0</v>
      </c>
      <c r="Z40" s="260" t="e">
        <f>(X40-Y40)/Y40</f>
        <v>#DIV/0!</v>
      </c>
      <c r="AA40" s="262">
        <f>X40/$X$62</f>
        <v>0</v>
      </c>
    </row>
    <row r="41" spans="1:27" ht="14.1" customHeight="1" x14ac:dyDescent="0.2">
      <c r="A41" s="258"/>
      <c r="B41" s="39"/>
      <c r="C41" s="259"/>
      <c r="D41" s="261"/>
      <c r="E41" s="262"/>
      <c r="F41" s="261"/>
      <c r="G41" s="261"/>
      <c r="H41" s="260"/>
      <c r="I41" s="262"/>
      <c r="J41" s="258"/>
      <c r="K41" s="39"/>
      <c r="L41" s="263"/>
      <c r="N41" s="65"/>
      <c r="O41" s="263"/>
      <c r="P41" s="2"/>
      <c r="Q41" s="3"/>
      <c r="R41" s="65"/>
      <c r="S41" s="258"/>
      <c r="T41" s="39"/>
      <c r="U41" s="263"/>
      <c r="V41" s="2"/>
      <c r="W41" s="65"/>
      <c r="X41" s="263"/>
      <c r="Y41" s="2"/>
      <c r="Z41" s="3"/>
      <c r="AA41" s="65"/>
    </row>
    <row r="42" spans="1:27" ht="14.1" customHeight="1" x14ac:dyDescent="0.2">
      <c r="A42" s="258" t="s">
        <v>187</v>
      </c>
      <c r="B42" s="39"/>
      <c r="C42" s="259">
        <f>[3]KLM!$IO$19</f>
        <v>34</v>
      </c>
      <c r="D42" s="261">
        <f>[3]KLM!$IA$19</f>
        <v>36</v>
      </c>
      <c r="E42" s="262">
        <f>(C42-D42)/D42</f>
        <v>-5.5555555555555552E-2</v>
      </c>
      <c r="F42" s="261">
        <f>SUM([3]KLM!$IF$19:$IO$19)</f>
        <v>326</v>
      </c>
      <c r="G42" s="261">
        <f>SUM([3]KLM!$HR$19:$IA$19)</f>
        <v>332</v>
      </c>
      <c r="H42" s="260">
        <f>(F42-G42)/G42</f>
        <v>-1.8072289156626505E-2</v>
      </c>
      <c r="I42" s="262">
        <f>F42/$F$62</f>
        <v>1.3403558110180536E-3</v>
      </c>
      <c r="J42" s="258" t="s">
        <v>187</v>
      </c>
      <c r="K42" s="39"/>
      <c r="L42" s="259">
        <f>[3]KLM!$IO$41</f>
        <v>7936</v>
      </c>
      <c r="M42" s="261">
        <f>[3]KLM!$IA$41</f>
        <v>7225</v>
      </c>
      <c r="N42" s="262">
        <f>(L42-M42)/M42</f>
        <v>9.84083044982699E-2</v>
      </c>
      <c r="O42" s="259">
        <f>SUM([3]KLM!$IF$41:$IO$41)</f>
        <v>75864</v>
      </c>
      <c r="P42" s="261">
        <f>SUM([3]KLM!$HR$41:$IA$41)</f>
        <v>71475</v>
      </c>
      <c r="Q42" s="260">
        <f>(O42-P42)/P42</f>
        <v>6.1406086044071356E-2</v>
      </c>
      <c r="R42" s="262">
        <f>O42/$O$62</f>
        <v>2.6711630164340046E-3</v>
      </c>
      <c r="S42" s="258" t="s">
        <v>187</v>
      </c>
      <c r="T42" s="39"/>
      <c r="U42" s="259">
        <f>[3]KLM!$IO$64</f>
        <v>464449</v>
      </c>
      <c r="V42" s="261">
        <f>[3]KLM!$IA$64</f>
        <v>614200</v>
      </c>
      <c r="W42" s="262">
        <f>(U42-V42)/V42</f>
        <v>-0.24381471833279061</v>
      </c>
      <c r="X42" s="259">
        <f>SUM([3]KLM!$IF$64:$IO$64)</f>
        <v>3887817</v>
      </c>
      <c r="Y42" s="261">
        <f>SUM([3]KLM!$HR$64:$IA$64)</f>
        <v>5165310</v>
      </c>
      <c r="Z42" s="260">
        <f>(X42-Y42)/Y42</f>
        <v>-0.24732165155624736</v>
      </c>
      <c r="AA42" s="262">
        <f>X42/$X$62</f>
        <v>5.5127130223636453E-2</v>
      </c>
    </row>
    <row r="43" spans="1:27" ht="14.1" customHeight="1" x14ac:dyDescent="0.2">
      <c r="A43" s="258"/>
      <c r="B43" s="39"/>
      <c r="C43" s="259"/>
      <c r="D43" s="261"/>
      <c r="E43" s="262"/>
      <c r="F43" s="261"/>
      <c r="G43" s="261"/>
      <c r="H43" s="260"/>
      <c r="I43" s="262"/>
      <c r="J43" s="258"/>
      <c r="K43" s="39"/>
      <c r="L43" s="263"/>
      <c r="N43" s="65"/>
      <c r="O43" s="263"/>
      <c r="P43" s="2"/>
      <c r="Q43" s="3"/>
      <c r="R43" s="65"/>
      <c r="S43" s="258"/>
      <c r="T43" s="39"/>
      <c r="U43" s="263"/>
      <c r="V43" s="2"/>
      <c r="W43" s="65"/>
      <c r="X43" s="263"/>
      <c r="Y43" s="2"/>
      <c r="Z43" s="3"/>
      <c r="AA43" s="65"/>
    </row>
    <row r="44" spans="1:27" ht="14.1" customHeight="1" x14ac:dyDescent="0.2">
      <c r="A44" s="258" t="s">
        <v>128</v>
      </c>
      <c r="B44" s="39"/>
      <c r="C44" s="259">
        <f>[3]Southwest!$IO$19</f>
        <v>1453</v>
      </c>
      <c r="D44" s="261">
        <f>[3]Southwest!$IA$19</f>
        <v>952</v>
      </c>
      <c r="E44" s="262">
        <f>(C44-D44)/D44</f>
        <v>0.52626050420168069</v>
      </c>
      <c r="F44" s="261">
        <f>SUM([3]Southwest!$IF$19:$IO$19)</f>
        <v>11961</v>
      </c>
      <c r="G44" s="261">
        <f>SUM([3]Southwest!$HR$19:$IA$19)</f>
        <v>8860</v>
      </c>
      <c r="H44" s="260">
        <f>(F44-G44)/G44</f>
        <v>0.35</v>
      </c>
      <c r="I44" s="262">
        <f>F44/$F$62</f>
        <v>4.9177901397505955E-2</v>
      </c>
      <c r="J44" s="258" t="s">
        <v>128</v>
      </c>
      <c r="K44" s="39"/>
      <c r="L44" s="259">
        <f>[3]Southwest!$IO$41</f>
        <v>169609</v>
      </c>
      <c r="M44" s="261">
        <f>[3]Southwest!$IA$41</f>
        <v>130176</v>
      </c>
      <c r="N44" s="262">
        <f>(L44-M44)/M44</f>
        <v>0.30292066125860373</v>
      </c>
      <c r="O44" s="259">
        <f>SUM([3]Southwest!$IF$41:$IO$41)</f>
        <v>1389654</v>
      </c>
      <c r="P44" s="261">
        <f>SUM([3]Southwest!$HR$41:$IA$41)</f>
        <v>1140452</v>
      </c>
      <c r="Q44" s="260">
        <f>(O44-P44)/P44</f>
        <v>0.21851160767835912</v>
      </c>
      <c r="R44" s="262">
        <f>O44/$O$62</f>
        <v>4.8929563039644366E-2</v>
      </c>
      <c r="S44" s="258" t="s">
        <v>128</v>
      </c>
      <c r="T44" s="39"/>
      <c r="U44" s="259">
        <f>[3]Southwest!$IO$64</f>
        <v>246633</v>
      </c>
      <c r="V44" s="261">
        <f>[3]Southwest!$IA$64</f>
        <v>239208</v>
      </c>
      <c r="W44" s="262">
        <f>(U44-V44)/V44</f>
        <v>3.1039931774857029E-2</v>
      </c>
      <c r="X44" s="259">
        <f>SUM([3]Southwest!$IF$64:$IO$64)</f>
        <v>2239199</v>
      </c>
      <c r="Y44" s="261">
        <f>SUM([3]Southwest!$HR$64:$IA$64)</f>
        <v>2152835</v>
      </c>
      <c r="Z44" s="260">
        <f>(X44-Y44)/Y44</f>
        <v>4.0116404647824844E-2</v>
      </c>
      <c r="AA44" s="262">
        <f>X44/$X$62</f>
        <v>3.1750623774122216E-2</v>
      </c>
    </row>
    <row r="45" spans="1:27" ht="14.1" customHeight="1" x14ac:dyDescent="0.2">
      <c r="A45" s="258"/>
      <c r="B45" s="39"/>
      <c r="C45" s="259"/>
      <c r="D45" s="261"/>
      <c r="E45" s="262"/>
      <c r="F45" s="261"/>
      <c r="G45" s="261"/>
      <c r="H45" s="260"/>
      <c r="I45" s="262"/>
      <c r="J45" s="258"/>
      <c r="K45" s="39"/>
      <c r="L45" s="263"/>
      <c r="N45" s="65"/>
      <c r="O45" s="263"/>
      <c r="P45" s="2"/>
      <c r="Q45" s="3"/>
      <c r="R45" s="65"/>
      <c r="S45" s="258"/>
      <c r="T45" s="39"/>
      <c r="U45" s="263"/>
      <c r="V45" s="2"/>
      <c r="W45" s="65"/>
      <c r="X45" s="263"/>
      <c r="Y45" s="2"/>
      <c r="Z45" s="3"/>
      <c r="AA45" s="65"/>
    </row>
    <row r="46" spans="1:27" ht="14.1" customHeight="1" x14ac:dyDescent="0.2">
      <c r="A46" s="258" t="s">
        <v>153</v>
      </c>
      <c r="B46" s="39"/>
      <c r="C46" s="259">
        <f>[3]Spirit!$IO$19</f>
        <v>240</v>
      </c>
      <c r="D46" s="261">
        <f>[3]Spirit!$IA$19</f>
        <v>184</v>
      </c>
      <c r="E46" s="262">
        <f>(C46-D46)/D46</f>
        <v>0.30434782608695654</v>
      </c>
      <c r="F46" s="261">
        <f>SUM([3]Spirit!$IF$19:$IO$19)</f>
        <v>2688</v>
      </c>
      <c r="G46" s="261">
        <f>SUM([3]Spirit!$HR$19:$IA$19)</f>
        <v>2388</v>
      </c>
      <c r="H46" s="260">
        <f>(F46-G46)/G46</f>
        <v>0.12562814070351758</v>
      </c>
      <c r="I46" s="262">
        <f>F46/$F$62</f>
        <v>1.1051768159559903E-2</v>
      </c>
      <c r="J46" s="258" t="s">
        <v>153</v>
      </c>
      <c r="K46" s="39"/>
      <c r="L46" s="259">
        <f>[3]Spirit!$IO$41</f>
        <v>34678</v>
      </c>
      <c r="M46" s="261">
        <f>[3]Spirit!$IA$41</f>
        <v>28360</v>
      </c>
      <c r="N46" s="262">
        <f>(L46-M46)/M46</f>
        <v>0.22277856135401974</v>
      </c>
      <c r="O46" s="259">
        <f>SUM([3]Spirit!$IF$41:$IO$41)</f>
        <v>383187</v>
      </c>
      <c r="P46" s="261">
        <f>SUM([3]Spirit!$HR$41:$IA$41)</f>
        <v>360305</v>
      </c>
      <c r="Q46" s="260">
        <f>(O46-P46)/P46</f>
        <v>6.3507306309931857E-2</v>
      </c>
      <c r="R46" s="262">
        <f>O46/$O$62</f>
        <v>1.3491971722797333E-2</v>
      </c>
      <c r="S46" s="258" t="s">
        <v>153</v>
      </c>
      <c r="T46" s="39"/>
      <c r="U46" s="259">
        <f>[3]Spirit!$IO$64</f>
        <v>0</v>
      </c>
      <c r="V46" s="261">
        <f>[3]Spirit!$IA$64</f>
        <v>0</v>
      </c>
      <c r="W46" s="262" t="e">
        <f>(U46-V46)/V46</f>
        <v>#DIV/0!</v>
      </c>
      <c r="X46" s="259">
        <f>SUM([3]Spirit!$IF$64:$IO$64)</f>
        <v>0</v>
      </c>
      <c r="Y46" s="261">
        <f>SUM([3]Spirit!$HR$64:$IA$64)</f>
        <v>0</v>
      </c>
      <c r="Z46" s="260" t="e">
        <f>(X46-Y46)/Y46</f>
        <v>#DIV/0!</v>
      </c>
      <c r="AA46" s="262">
        <f>X46/$X$62</f>
        <v>0</v>
      </c>
    </row>
    <row r="47" spans="1:27" ht="14.1" customHeight="1" x14ac:dyDescent="0.2">
      <c r="A47" s="258"/>
      <c r="B47" s="39"/>
      <c r="C47" s="259"/>
      <c r="D47" s="261"/>
      <c r="E47" s="262"/>
      <c r="F47" s="261"/>
      <c r="G47" s="261"/>
      <c r="H47" s="260"/>
      <c r="I47" s="262"/>
      <c r="J47" s="258"/>
      <c r="K47" s="39"/>
      <c r="L47" s="263"/>
      <c r="N47" s="65"/>
      <c r="O47" s="263"/>
      <c r="P47" s="2"/>
      <c r="Q47" s="3"/>
      <c r="R47" s="65">
        <f>O47/$O$62</f>
        <v>0</v>
      </c>
      <c r="S47" s="258"/>
      <c r="T47" s="39"/>
      <c r="U47" s="263"/>
      <c r="V47" s="2"/>
      <c r="W47" s="65"/>
      <c r="X47" s="263"/>
      <c r="Y47" s="2"/>
      <c r="Z47" s="3"/>
      <c r="AA47" s="65">
        <f>X47/$X$62</f>
        <v>0</v>
      </c>
    </row>
    <row r="48" spans="1:27" ht="14.1" customHeight="1" x14ac:dyDescent="0.2">
      <c r="A48" s="258" t="s">
        <v>49</v>
      </c>
      <c r="B48" s="39"/>
      <c r="C48" s="259">
        <f>'[3]Sun Country'!$IO$19</f>
        <v>2140</v>
      </c>
      <c r="D48" s="261">
        <f>'[3]Sun Country'!$IA$19</f>
        <v>1745</v>
      </c>
      <c r="E48" s="262">
        <f>(C48-D48)/D48</f>
        <v>0.22636103151862463</v>
      </c>
      <c r="F48" s="261">
        <f>SUM('[3]Sun Country'!$IF$19:$IO$19)</f>
        <v>21014</v>
      </c>
      <c r="G48" s="261">
        <f>SUM('[3]Sun Country'!$HR$19:$IA$19)</f>
        <v>18483</v>
      </c>
      <c r="H48" s="260">
        <f>(F48-G48)/G48</f>
        <v>0.13693664448412055</v>
      </c>
      <c r="I48" s="262">
        <f>F48/$F$62</f>
        <v>8.6399500039059454E-2</v>
      </c>
      <c r="J48" s="258" t="s">
        <v>49</v>
      </c>
      <c r="K48" s="39"/>
      <c r="L48" s="259">
        <f>'[3]Sun Country'!$IO$41</f>
        <v>306443</v>
      </c>
      <c r="M48" s="261">
        <f>'[3]Sun Country'!$IA$41</f>
        <v>244371</v>
      </c>
      <c r="N48" s="262">
        <f>(L48-M48)/M48</f>
        <v>0.25400722671675446</v>
      </c>
      <c r="O48" s="259">
        <f>SUM('[3]Sun Country'!$IF$41:$IO$41)</f>
        <v>3110223</v>
      </c>
      <c r="P48" s="261">
        <f>SUM('[3]Sun Country'!$HR$41:$IA$41)</f>
        <v>2681153</v>
      </c>
      <c r="Q48" s="260">
        <f>(O48-P48)/P48</f>
        <v>0.16003189672502838</v>
      </c>
      <c r="R48" s="262">
        <f>O48/$O$62</f>
        <v>0.10951060648611223</v>
      </c>
      <c r="S48" s="258" t="s">
        <v>49</v>
      </c>
      <c r="T48" s="39"/>
      <c r="U48" s="259">
        <f>'[3]Sun Country'!$IO$64</f>
        <v>0</v>
      </c>
      <c r="V48" s="261">
        <f>'[3]Sun Country'!$IA$64</f>
        <v>104521</v>
      </c>
      <c r="W48" s="262">
        <f>(U48-V48)/V48</f>
        <v>-1</v>
      </c>
      <c r="X48" s="259">
        <f>SUM('[3]Sun Country'!$IF$64:$IO$64)</f>
        <v>61776</v>
      </c>
      <c r="Y48" s="261">
        <f>SUM('[3]Sun Country'!$HR$64:$IA$64)</f>
        <v>3378522</v>
      </c>
      <c r="Z48" s="260">
        <f>(X48-Y48)/Y48</f>
        <v>-0.98171508132846252</v>
      </c>
      <c r="AA48" s="262">
        <f>X48/$X$62</f>
        <v>8.7595007601833249E-4</v>
      </c>
    </row>
    <row r="49" spans="1:27" ht="14.1" customHeight="1" x14ac:dyDescent="0.2">
      <c r="A49" s="258"/>
      <c r="B49" s="39"/>
      <c r="C49" s="259"/>
      <c r="D49" s="261"/>
      <c r="E49" s="262"/>
      <c r="F49" s="261"/>
      <c r="G49" s="261"/>
      <c r="H49" s="260"/>
      <c r="I49" s="262"/>
      <c r="J49" s="258"/>
      <c r="K49" s="39"/>
      <c r="L49" s="263"/>
      <c r="N49" s="65"/>
      <c r="O49" s="263"/>
      <c r="P49" s="2"/>
      <c r="Q49" s="3"/>
      <c r="R49" s="65"/>
      <c r="S49" s="258"/>
      <c r="T49" s="39"/>
      <c r="U49" s="263"/>
      <c r="V49" s="2"/>
      <c r="W49" s="65"/>
      <c r="X49" s="263"/>
      <c r="Y49" s="2"/>
      <c r="Z49" s="3"/>
      <c r="AA49" s="65"/>
    </row>
    <row r="50" spans="1:27" ht="14.1" customHeight="1" x14ac:dyDescent="0.2">
      <c r="A50" s="258" t="s">
        <v>19</v>
      </c>
      <c r="B50" s="265"/>
      <c r="C50" s="259">
        <f>SUM(C51:C55)</f>
        <v>1200</v>
      </c>
      <c r="D50" s="261">
        <f>SUM(D51:D55)</f>
        <v>1050</v>
      </c>
      <c r="E50" s="262">
        <f t="shared" ref="E50:E55" si="30">(C50-D50)/D50</f>
        <v>0.14285714285714285</v>
      </c>
      <c r="F50" s="261">
        <f>SUM(F51:F55)</f>
        <v>10528</v>
      </c>
      <c r="G50" s="261">
        <f>SUM(G51:G55)</f>
        <v>9366</v>
      </c>
      <c r="H50" s="260">
        <f t="shared" ref="H50:H55" si="31">(F50-G50)/G50</f>
        <v>0.12406576980568013</v>
      </c>
      <c r="I50" s="262">
        <f t="shared" ref="I50:I55" si="32">F50/$F$62</f>
        <v>4.3286091958276283E-2</v>
      </c>
      <c r="J50" s="258" t="s">
        <v>19</v>
      </c>
      <c r="K50" s="265"/>
      <c r="L50" s="259">
        <f>SUM(L51:L55)</f>
        <v>143109</v>
      </c>
      <c r="M50" s="261">
        <f>SUM(M51:M55)</f>
        <v>134407</v>
      </c>
      <c r="N50" s="262">
        <f t="shared" ref="N50:N55" si="33">(L50-M50)/M50</f>
        <v>6.4743651744328792E-2</v>
      </c>
      <c r="O50" s="259">
        <f>SUM(O51:O55)</f>
        <v>1323643</v>
      </c>
      <c r="P50" s="261">
        <f>SUM(P51:P55)</f>
        <v>1062172</v>
      </c>
      <c r="Q50" s="260">
        <f t="shared" ref="Q50:Q55" si="34">(O50-P50)/P50</f>
        <v>0.24616634594020553</v>
      </c>
      <c r="R50" s="262">
        <f t="shared" ref="R50:R55" si="35">O50/$O$62</f>
        <v>4.6605323059181629E-2</v>
      </c>
      <c r="S50" s="258" t="s">
        <v>19</v>
      </c>
      <c r="T50" s="265"/>
      <c r="U50" s="259">
        <f>SUM(U51:U55)</f>
        <v>161272</v>
      </c>
      <c r="V50" s="261">
        <f>SUM(V51:V55)</f>
        <v>103938</v>
      </c>
      <c r="W50" s="262">
        <f t="shared" ref="W50:W55" si="36">(U50-V50)/V50</f>
        <v>0.55161731031961359</v>
      </c>
      <c r="X50" s="259">
        <f>SUM(X51:X55)</f>
        <v>1046321</v>
      </c>
      <c r="Y50" s="261">
        <f>SUM(Y51:Y55)</f>
        <v>1160574</v>
      </c>
      <c r="Z50" s="260">
        <f t="shared" ref="Z50:Z55" si="37">(X50-Y50)/Y50</f>
        <v>-9.8445252090775773E-2</v>
      </c>
      <c r="AA50" s="262">
        <f t="shared" ref="AA50:AA55" si="38">X50/$X$62</f>
        <v>1.4836262618000156E-2</v>
      </c>
    </row>
    <row r="51" spans="1:27" ht="14.1" customHeight="1" x14ac:dyDescent="0.2">
      <c r="A51" s="37"/>
      <c r="B51" s="318" t="s">
        <v>19</v>
      </c>
      <c r="C51" s="263">
        <f>[3]United!$IO$19</f>
        <v>1043</v>
      </c>
      <c r="D51" s="2">
        <f>[3]United!$IA$19+[3]Continental!$IA$19</f>
        <v>908</v>
      </c>
      <c r="E51" s="65">
        <f t="shared" si="30"/>
        <v>0.14867841409691629</v>
      </c>
      <c r="F51" s="2">
        <f>SUM([3]United!$IF$19:$IO$19)</f>
        <v>9085</v>
      </c>
      <c r="G51" s="2">
        <f>SUM([3]United!$HR$19:$IA$19)+SUM([3]Continental!$HR$19:$IA$19)</f>
        <v>6804</v>
      </c>
      <c r="H51" s="3">
        <f t="shared" si="31"/>
        <v>0.335243974132863</v>
      </c>
      <c r="I51" s="65">
        <f t="shared" si="32"/>
        <v>3.7353167310119686E-2</v>
      </c>
      <c r="J51" s="37"/>
      <c r="K51" s="318" t="s">
        <v>19</v>
      </c>
      <c r="L51" s="263">
        <f>[3]United!$IO$41</f>
        <v>133084</v>
      </c>
      <c r="M51" s="2">
        <f>[3]United!$IA$41+[3]Continental!$IA$41</f>
        <v>124778</v>
      </c>
      <c r="N51" s="65">
        <f t="shared" si="33"/>
        <v>6.6566221609578605E-2</v>
      </c>
      <c r="O51" s="263">
        <f>SUM([3]United!$IF$41:$IO$41)</f>
        <v>1231114</v>
      </c>
      <c r="P51" s="2">
        <f>SUM([3]United!$HR$41:$IA$41)+SUM([3]Continental!$HR$41:$IA$41)</f>
        <v>897284</v>
      </c>
      <c r="Q51" s="3">
        <f t="shared" si="34"/>
        <v>0.37204497126885133</v>
      </c>
      <c r="R51" s="65">
        <f t="shared" si="35"/>
        <v>4.3347387243147378E-2</v>
      </c>
      <c r="S51" s="37"/>
      <c r="T51" s="318" t="s">
        <v>19</v>
      </c>
      <c r="U51" s="263">
        <f>[3]United!$IO$64</f>
        <v>161272</v>
      </c>
      <c r="V51" s="2">
        <f>[3]United!$IA$64+[3]Continental!$IA$64</f>
        <v>103938</v>
      </c>
      <c r="W51" s="65">
        <f t="shared" si="36"/>
        <v>0.55161731031961359</v>
      </c>
      <c r="X51" s="263">
        <f>SUM([3]United!$IF$64:$IO$64)</f>
        <v>1046321</v>
      </c>
      <c r="Y51" s="2">
        <f>SUM([3]United!$HR$64:$IA$64)+SUM([3]Continental!$HR$64:$IA$64)</f>
        <v>1160574</v>
      </c>
      <c r="Z51" s="3">
        <f t="shared" si="37"/>
        <v>-9.8445252090775773E-2</v>
      </c>
      <c r="AA51" s="65">
        <f t="shared" si="38"/>
        <v>1.4836262618000156E-2</v>
      </c>
    </row>
    <row r="52" spans="1:27" ht="14.1" customHeight="1" x14ac:dyDescent="0.2">
      <c r="A52" s="37"/>
      <c r="B52" s="39" t="s">
        <v>152</v>
      </c>
      <c r="C52" s="263">
        <f>'[3]Go Jet_UA'!$IO$19</f>
        <v>0</v>
      </c>
      <c r="D52" s="2">
        <f>'[3]Go Jet_UA'!$IA$19</f>
        <v>0</v>
      </c>
      <c r="E52" s="65" t="e">
        <f t="shared" si="30"/>
        <v>#DIV/0!</v>
      </c>
      <c r="F52" s="2">
        <f>SUM('[3]Go Jet_UA'!$IF$19:$IO$19)</f>
        <v>2</v>
      </c>
      <c r="G52" s="2">
        <f>SUM('[3]Go Jet_UA'!$HR$19:$IA$19)</f>
        <v>2</v>
      </c>
      <c r="H52" s="3">
        <f t="shared" si="31"/>
        <v>0</v>
      </c>
      <c r="I52" s="65">
        <f t="shared" si="32"/>
        <v>8.2230417853868325E-6</v>
      </c>
      <c r="J52" s="37"/>
      <c r="K52" s="39" t="s">
        <v>152</v>
      </c>
      <c r="L52" s="263">
        <f>'[3]Go Jet_UA'!$IO$41</f>
        <v>0</v>
      </c>
      <c r="M52" s="2">
        <f>'[3]Go Jet_UA'!$IA$41</f>
        <v>0</v>
      </c>
      <c r="N52" s="65" t="e">
        <f t="shared" si="33"/>
        <v>#DIV/0!</v>
      </c>
      <c r="O52" s="263">
        <f>SUM('[3]Go Jet_UA'!$IF$41:$IO$41)</f>
        <v>96</v>
      </c>
      <c r="P52" s="2">
        <f>SUM('[3]Go Jet_UA'!$HR$41:$IA$41)</f>
        <v>37</v>
      </c>
      <c r="Q52" s="3">
        <f t="shared" si="34"/>
        <v>1.5945945945945945</v>
      </c>
      <c r="R52" s="65">
        <f t="shared" si="35"/>
        <v>3.3801493406314515E-6</v>
      </c>
      <c r="S52" s="37"/>
      <c r="T52" s="39" t="s">
        <v>152</v>
      </c>
      <c r="U52" s="263">
        <f>'[3]Go Jet_UA'!$IO$64</f>
        <v>0</v>
      </c>
      <c r="V52" s="2">
        <f>'[3]Go Jet_UA'!$IA$64</f>
        <v>0</v>
      </c>
      <c r="W52" s="65" t="e">
        <f t="shared" si="36"/>
        <v>#DIV/0!</v>
      </c>
      <c r="X52" s="263">
        <f>SUM('[3]Go Jet_UA'!$IF$64:$IO$64)</f>
        <v>0</v>
      </c>
      <c r="Y52" s="2">
        <f>SUM('[3]Go Jet_UA'!$HR$64:$IA$64)</f>
        <v>0</v>
      </c>
      <c r="Z52" s="3" t="e">
        <f t="shared" si="37"/>
        <v>#DIV/0!</v>
      </c>
      <c r="AA52" s="65">
        <f t="shared" si="38"/>
        <v>0</v>
      </c>
    </row>
    <row r="53" spans="1:27" ht="14.1" customHeight="1" x14ac:dyDescent="0.2">
      <c r="A53" s="37"/>
      <c r="B53" s="39" t="s">
        <v>51</v>
      </c>
      <c r="C53" s="263">
        <f>[3]MESA_UA!$IO$19</f>
        <v>130</v>
      </c>
      <c r="D53" s="2">
        <f>[3]MESA_UA!$IA$19</f>
        <v>126</v>
      </c>
      <c r="E53" s="65">
        <f t="shared" si="30"/>
        <v>3.1746031746031744E-2</v>
      </c>
      <c r="F53" s="2">
        <f>SUM([3]MESA_UA!$IF$19:$IO$19)</f>
        <v>1010</v>
      </c>
      <c r="G53" s="2">
        <f>SUM([3]MESA_UA!$HR$19:$IA$19)</f>
        <v>1152</v>
      </c>
      <c r="H53" s="3">
        <f>(F53-G53)/G53</f>
        <v>-0.1232638888888889</v>
      </c>
      <c r="I53" s="65">
        <f t="shared" si="32"/>
        <v>4.1526361016203505E-3</v>
      </c>
      <c r="J53" s="37"/>
      <c r="K53" s="39" t="s">
        <v>51</v>
      </c>
      <c r="L53" s="263">
        <f>[3]MESA_UA!$IO$41</f>
        <v>8452</v>
      </c>
      <c r="M53" s="2">
        <f>[3]MESA_UA!$IA$41</f>
        <v>8591</v>
      </c>
      <c r="N53" s="65">
        <f t="shared" si="33"/>
        <v>-1.6179722965894542E-2</v>
      </c>
      <c r="O53" s="263">
        <f>SUM([3]MESA_UA!$IF$41:$IO$41)</f>
        <v>65934</v>
      </c>
      <c r="P53" s="2">
        <f>SUM([3]MESA_UA!$HR$41:$IA$41)</f>
        <v>77655</v>
      </c>
      <c r="Q53" s="3">
        <f t="shared" si="34"/>
        <v>-0.15093683600540853</v>
      </c>
      <c r="R53" s="65">
        <f t="shared" si="35"/>
        <v>2.3215288190124388E-3</v>
      </c>
      <c r="S53" s="37"/>
      <c r="T53" s="39" t="s">
        <v>51</v>
      </c>
      <c r="U53" s="263">
        <f>[3]MESA_UA!$IO$64</f>
        <v>0</v>
      </c>
      <c r="V53" s="2">
        <f>[3]MESA_UA!$IA$64</f>
        <v>0</v>
      </c>
      <c r="W53" s="65" t="e">
        <f t="shared" si="36"/>
        <v>#DIV/0!</v>
      </c>
      <c r="X53" s="263">
        <f>SUM([3]MESA_UA!$IF$64:$IO$64)</f>
        <v>0</v>
      </c>
      <c r="Y53" s="2">
        <f>SUM([3]MESA_UA!$HR$64:$IA$64)</f>
        <v>0</v>
      </c>
      <c r="Z53" s="3" t="e">
        <f t="shared" si="37"/>
        <v>#DIV/0!</v>
      </c>
      <c r="AA53" s="65">
        <f t="shared" si="38"/>
        <v>0</v>
      </c>
    </row>
    <row r="54" spans="1:27" ht="14.1" customHeight="1" x14ac:dyDescent="0.2">
      <c r="A54" s="37"/>
      <c r="B54" s="318" t="s">
        <v>52</v>
      </c>
      <c r="C54" s="263">
        <f>[3]Republic_UA!$IO$19</f>
        <v>21</v>
      </c>
      <c r="D54" s="2">
        <f>[3]Republic_UA!$IA$19</f>
        <v>10</v>
      </c>
      <c r="E54" s="65">
        <f t="shared" si="30"/>
        <v>1.1000000000000001</v>
      </c>
      <c r="F54" s="2">
        <f>SUM([3]Republic_UA!$IF$19:$IO$19)</f>
        <v>357</v>
      </c>
      <c r="G54" s="2">
        <f>SUM([3]Republic_UA!$HR$19:$IA$19)</f>
        <v>1020</v>
      </c>
      <c r="H54" s="3">
        <f t="shared" ref="H54" si="39">(F54-G54)/G54</f>
        <v>-0.65</v>
      </c>
      <c r="I54" s="65">
        <f t="shared" si="32"/>
        <v>1.4678129586915495E-3</v>
      </c>
      <c r="J54" s="37"/>
      <c r="K54" s="318" t="s">
        <v>52</v>
      </c>
      <c r="L54" s="263">
        <f>[3]Republic_UA!$IO$41</f>
        <v>1151</v>
      </c>
      <c r="M54" s="2">
        <f>[3]Republic_UA!$IA$41</f>
        <v>626</v>
      </c>
      <c r="N54" s="65">
        <f t="shared" si="33"/>
        <v>0.83865814696485619</v>
      </c>
      <c r="O54" s="263">
        <f>SUM([3]Republic_UA!$IF$41:$IO$41)</f>
        <v>22408</v>
      </c>
      <c r="P54" s="2">
        <f>SUM([3]Republic_UA!$HR$41:$IA$41)</f>
        <v>62569</v>
      </c>
      <c r="Q54" s="3">
        <f t="shared" si="34"/>
        <v>-0.64186737841423069</v>
      </c>
      <c r="R54" s="65">
        <f t="shared" si="35"/>
        <v>7.889831919257246E-4</v>
      </c>
      <c r="S54" s="37"/>
      <c r="T54" s="318" t="s">
        <v>52</v>
      </c>
      <c r="U54" s="263">
        <f>[3]Republic_UA!$IO$64</f>
        <v>0</v>
      </c>
      <c r="V54" s="2">
        <f>[3]Republic_UA!$IA$64</f>
        <v>0</v>
      </c>
      <c r="W54" s="65" t="e">
        <f t="shared" si="36"/>
        <v>#DIV/0!</v>
      </c>
      <c r="X54" s="263">
        <f>SUM([3]Republic_UA!$IF$64:$IO$64)</f>
        <v>0</v>
      </c>
      <c r="Y54" s="2">
        <f>SUM([3]Republic_UA!$HR$64:$IA$64)</f>
        <v>0</v>
      </c>
      <c r="Z54" s="3" t="e">
        <f t="shared" si="37"/>
        <v>#DIV/0!</v>
      </c>
      <c r="AA54" s="65">
        <f t="shared" si="38"/>
        <v>0</v>
      </c>
    </row>
    <row r="55" spans="1:27" ht="14.1" customHeight="1" x14ac:dyDescent="0.2">
      <c r="A55" s="37"/>
      <c r="B55" s="39" t="s">
        <v>97</v>
      </c>
      <c r="C55" s="263">
        <f>'[3]Sky West_UA'!$IO$19</f>
        <v>6</v>
      </c>
      <c r="D55" s="2">
        <f>'[3]Sky West_UA'!$IA$19+'[3]Sky West_CO'!$IA$19</f>
        <v>6</v>
      </c>
      <c r="E55" s="65">
        <f t="shared" si="30"/>
        <v>0</v>
      </c>
      <c r="F55" s="2">
        <f>SUM('[3]Sky West_UA'!$IF$19:$IO$19)</f>
        <v>74</v>
      </c>
      <c r="G55" s="2">
        <f>SUM('[3]Sky West_UA'!$HR$19:$IA$19)+SUM('[3]Sky West_CO'!$HR$19:$IA$19)</f>
        <v>388</v>
      </c>
      <c r="H55" s="3">
        <f t="shared" si="31"/>
        <v>-0.80927835051546393</v>
      </c>
      <c r="I55" s="65">
        <f t="shared" si="32"/>
        <v>3.0425254605931281E-4</v>
      </c>
      <c r="J55" s="37"/>
      <c r="K55" s="39" t="s">
        <v>97</v>
      </c>
      <c r="L55" s="263">
        <f>'[3]Sky West_UA'!$IO$41</f>
        <v>422</v>
      </c>
      <c r="M55" s="2">
        <f>'[3]Sky West_UA'!$IA$41+'[3]Sky West_CO'!$IA$41</f>
        <v>412</v>
      </c>
      <c r="N55" s="65">
        <f t="shared" si="33"/>
        <v>2.4271844660194174E-2</v>
      </c>
      <c r="O55" s="263">
        <f>SUM('[3]Sky West_UA'!$IF$41:$IO$41)</f>
        <v>4091</v>
      </c>
      <c r="P55" s="2">
        <f>SUM('[3]Sky West_UA'!$HR$41:$IA$41)+SUM('[3]Sky West_CO'!$HR$41:$IA$41)</f>
        <v>24627</v>
      </c>
      <c r="Q55" s="3">
        <f t="shared" si="34"/>
        <v>-0.83388151216144879</v>
      </c>
      <c r="R55" s="65">
        <f t="shared" si="35"/>
        <v>1.440436557554507E-4</v>
      </c>
      <c r="S55" s="37"/>
      <c r="T55" s="39" t="s">
        <v>97</v>
      </c>
      <c r="U55" s="263">
        <f>'[3]Sky West_UA'!$IO$64</f>
        <v>0</v>
      </c>
      <c r="V55" s="2">
        <f>'[3]Sky West_UA'!$IA$64+'[3]Sky West_CO'!$IA$64</f>
        <v>0</v>
      </c>
      <c r="W55" s="65" t="e">
        <f t="shared" si="36"/>
        <v>#DIV/0!</v>
      </c>
      <c r="X55" s="263">
        <f>SUM('[3]Sky West_UA'!$IF$64:$IO$64)</f>
        <v>0</v>
      </c>
      <c r="Y55" s="2">
        <f>SUM('[3]Sky West_UA'!$HR$64:$IA$64)+SUM('[3]Sky West_CO'!$HR$64:$IA$64)</f>
        <v>0</v>
      </c>
      <c r="Z55" s="3" t="e">
        <f t="shared" si="37"/>
        <v>#DIV/0!</v>
      </c>
      <c r="AA55" s="65">
        <f t="shared" si="38"/>
        <v>0</v>
      </c>
    </row>
    <row r="56" spans="1:27" ht="14.1" customHeight="1" x14ac:dyDescent="0.2">
      <c r="A56" s="37"/>
      <c r="B56" s="266"/>
      <c r="C56" s="263"/>
      <c r="E56" s="65"/>
      <c r="F56" s="2"/>
      <c r="I56" s="65"/>
      <c r="J56" s="37"/>
      <c r="K56" s="266"/>
      <c r="L56" s="263"/>
      <c r="N56" s="65"/>
      <c r="O56" s="263"/>
      <c r="P56" s="2"/>
      <c r="Q56" s="3"/>
      <c r="R56" s="65"/>
      <c r="S56" s="37"/>
      <c r="T56" s="266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246</v>
      </c>
      <c r="B57" s="266"/>
      <c r="C57" s="259">
        <f>[3]WestJet!$IO$19</f>
        <v>70</v>
      </c>
      <c r="D57" s="261">
        <f>[3]WestJet!$IA$19</f>
        <v>0</v>
      </c>
      <c r="E57" s="262" t="e">
        <f>(C57-D57)/D57</f>
        <v>#DIV/0!</v>
      </c>
      <c r="F57" s="261">
        <f>SUM([3]WestJet!$IF$19:$IO$19)</f>
        <v>328</v>
      </c>
      <c r="G57" s="261">
        <f>SUM([3]WestJet!$HR$19:$IA$19)</f>
        <v>0</v>
      </c>
      <c r="H57" s="260" t="e">
        <f>(F57-G57)/G57</f>
        <v>#DIV/0!</v>
      </c>
      <c r="I57" s="262">
        <f>F57/$F$62</f>
        <v>1.3485788528034405E-3</v>
      </c>
      <c r="J57" s="258" t="s">
        <v>246</v>
      </c>
      <c r="K57" s="39"/>
      <c r="L57" s="259">
        <f>[3]WestJet!$IO$41</f>
        <v>6180</v>
      </c>
      <c r="M57" s="261">
        <f>[3]WestJet!$IA$41</f>
        <v>0</v>
      </c>
      <c r="N57" s="262" t="e">
        <f>(L57-M57)/M57</f>
        <v>#DIV/0!</v>
      </c>
      <c r="O57" s="259">
        <f>SUM([3]WestJet!$IF$41:$IO$41)</f>
        <v>38319</v>
      </c>
      <c r="P57" s="261">
        <f>SUM([3]WestJet!$HR$41:$IA$41)</f>
        <v>0</v>
      </c>
      <c r="Q57" s="260" t="e">
        <f>(O57-P57)/P57</f>
        <v>#DIV/0!</v>
      </c>
      <c r="R57" s="262">
        <f>O57/$O$62</f>
        <v>1.3492077352464228E-3</v>
      </c>
      <c r="S57" s="258" t="s">
        <v>246</v>
      </c>
      <c r="T57" s="39"/>
      <c r="U57" s="259">
        <f>[3]WestJet!$IO$64</f>
        <v>0</v>
      </c>
      <c r="V57" s="261">
        <f>[3]WestJet!$IA$64</f>
        <v>0</v>
      </c>
      <c r="W57" s="262" t="e">
        <f>(U57-V57)/V57</f>
        <v>#DIV/0!</v>
      </c>
      <c r="X57" s="259">
        <f>SUM([3]WestJet!$IF$64:$IO$64)</f>
        <v>0</v>
      </c>
      <c r="Y57" s="261">
        <f>SUM([3]WestJet!$HR$64:$IA$64)</f>
        <v>0</v>
      </c>
      <c r="Z57" s="260" t="e">
        <f>(X57-Y57)/Y57</f>
        <v>#DIV/0!</v>
      </c>
      <c r="AA57" s="262">
        <f>X57/$X$62</f>
        <v>0</v>
      </c>
    </row>
    <row r="58" spans="1:27" ht="14.1" customHeight="1" thickBot="1" x14ac:dyDescent="0.25">
      <c r="A58" s="320"/>
      <c r="B58" s="321"/>
      <c r="C58" s="267"/>
      <c r="D58" s="269"/>
      <c r="E58" s="270"/>
      <c r="F58" s="269"/>
      <c r="G58" s="269"/>
      <c r="H58" s="268"/>
      <c r="I58" s="270"/>
      <c r="J58" s="320"/>
      <c r="K58" s="321"/>
      <c r="L58" s="267"/>
      <c r="M58" s="269"/>
      <c r="N58" s="270"/>
      <c r="O58" s="267"/>
      <c r="P58" s="269"/>
      <c r="Q58" s="268"/>
      <c r="R58" s="342"/>
      <c r="S58" s="320"/>
      <c r="T58" s="321"/>
      <c r="U58" s="267"/>
      <c r="V58" s="269"/>
      <c r="W58" s="270"/>
      <c r="X58" s="267"/>
      <c r="Y58" s="269"/>
      <c r="Z58" s="268"/>
      <c r="AA58" s="342"/>
    </row>
    <row r="59" spans="1:27" s="170" customFormat="1" ht="14.1" customHeight="1" thickBot="1" x14ac:dyDescent="0.25">
      <c r="B59" s="169"/>
      <c r="C59" s="261"/>
      <c r="D59" s="261"/>
      <c r="E59" s="260"/>
      <c r="F59" s="319"/>
      <c r="G59" s="261"/>
      <c r="H59" s="260"/>
      <c r="I59" s="260"/>
      <c r="J59" s="271"/>
      <c r="K59" s="169"/>
      <c r="L59" s="272"/>
      <c r="M59" s="273"/>
      <c r="N59" s="271"/>
      <c r="S59" s="271"/>
      <c r="T59" s="169"/>
      <c r="U59" s="272"/>
      <c r="V59" s="273"/>
      <c r="W59" s="271"/>
    </row>
    <row r="60" spans="1:27" ht="14.1" customHeight="1" x14ac:dyDescent="0.2">
      <c r="B60" s="274" t="s">
        <v>131</v>
      </c>
      <c r="C60" s="327">
        <f>+C62-C61</f>
        <v>19322</v>
      </c>
      <c r="D60" s="438">
        <f>+D62-D61</f>
        <v>15250</v>
      </c>
      <c r="E60" s="328">
        <f>(C60-D60)/D60</f>
        <v>0.26701639344262296</v>
      </c>
      <c r="F60" s="327">
        <f>+F62-F61</f>
        <v>180876</v>
      </c>
      <c r="G60" s="438">
        <f>+G62-G61</f>
        <v>150517</v>
      </c>
      <c r="H60" s="328">
        <f>(F60-G60)/G60</f>
        <v>0.20169814705315678</v>
      </c>
      <c r="I60" s="353">
        <f>F60/$F$62</f>
        <v>0.74367545298681437</v>
      </c>
      <c r="K60" s="274" t="s">
        <v>131</v>
      </c>
      <c r="L60" s="327">
        <f>+L62-L61</f>
        <v>2617173</v>
      </c>
      <c r="M60" s="438">
        <f>+M62-M61</f>
        <v>2160507</v>
      </c>
      <c r="N60" s="328">
        <f>(L60-M60)/M60</f>
        <v>0.2113698312479432</v>
      </c>
      <c r="O60" s="327">
        <f>+O62-O61</f>
        <v>25043546</v>
      </c>
      <c r="P60" s="438">
        <f>+P62-P61</f>
        <v>21071359</v>
      </c>
      <c r="Q60" s="351">
        <f>(O60-P60)/P60</f>
        <v>0.18851119189796919</v>
      </c>
      <c r="R60" s="398">
        <f>+O60/O62</f>
        <v>0.88178047394763981</v>
      </c>
      <c r="S60" s="3"/>
      <c r="T60" s="274" t="s">
        <v>131</v>
      </c>
      <c r="U60" s="327">
        <f>+U62-U61</f>
        <v>8333178</v>
      </c>
      <c r="V60" s="438">
        <f>+V62-V61</f>
        <v>9197297</v>
      </c>
      <c r="W60" s="328">
        <f>(U60-V60)/V60</f>
        <v>-9.395358223182311E-2</v>
      </c>
      <c r="X60" s="327">
        <f>+X62-X61</f>
        <v>70171357</v>
      </c>
      <c r="Y60" s="438">
        <f>+Y62-Y61</f>
        <v>83443354</v>
      </c>
      <c r="Z60" s="351">
        <f>(X60-Y60)/Y60</f>
        <v>-0.15905397330984564</v>
      </c>
      <c r="AA60" s="398">
        <f>+X60/X62</f>
        <v>0.9949916714979854</v>
      </c>
    </row>
    <row r="61" spans="1:27" ht="14.1" customHeight="1" x14ac:dyDescent="0.2">
      <c r="B61" s="169" t="s">
        <v>132</v>
      </c>
      <c r="C61" s="329">
        <f>+C34+C33+C32+C20+C55+C52+C53+C24+C21+C15+C6+C54+C22+C23+C16+C7</f>
        <v>6271</v>
      </c>
      <c r="D61" s="439">
        <f>+D34+D33+D32+D20+D55+D52+D53+D24+D21+D15+D6+D54+D22+D23+D16+D7</f>
        <v>7512</v>
      </c>
      <c r="E61" s="275">
        <f>(C61-D61)/D61</f>
        <v>-0.16520234291799787</v>
      </c>
      <c r="F61" s="329">
        <f>+F34+F33+F32+F20+F55+F52+F53+F24+F21+F15+F6+F54+F22+F23+F16+F7</f>
        <v>62343</v>
      </c>
      <c r="G61" s="439">
        <f>+G34+G33+G32+G20+G55+G52+G53+G24+G21+G15+G6+G54+G22+G23+G16+G7</f>
        <v>82235</v>
      </c>
      <c r="H61" s="275">
        <f>(F61-G61)/G61</f>
        <v>-0.24189213838389981</v>
      </c>
      <c r="I61" s="354">
        <f>F61/$F$62</f>
        <v>0.25632454701318563</v>
      </c>
      <c r="K61" s="169" t="s">
        <v>132</v>
      </c>
      <c r="L61" s="329">
        <f>+L34+L33+L32+L20+L55+L52+L53+L24+L21+L15+L6+L54+L22+L23+L16+L7</f>
        <v>299105</v>
      </c>
      <c r="M61" s="439">
        <f>+M34+M33+M32+M20+M55+M52+M53+M24+M21+M15+M6+M54+M22+M23+M16+M7</f>
        <v>442657</v>
      </c>
      <c r="N61" s="275">
        <f>(L61-M61)/M61</f>
        <v>-0.32429623839677224</v>
      </c>
      <c r="O61" s="329">
        <f>+O34+O33+O32+O20+O55+O52+O53+O24+O21+O15+O6+O54+O22+O23+O16+O7</f>
        <v>3357566</v>
      </c>
      <c r="P61" s="439">
        <f>+P34+P33+P32+P20+P55+P52+P53+P24+P21+P15+P6+P54+P22+P23+P16+P7</f>
        <v>4403483</v>
      </c>
      <c r="Q61" s="350">
        <f>(O61-P61)/P61</f>
        <v>-0.23752039010937478</v>
      </c>
      <c r="R61" s="399">
        <f>+O61/O62</f>
        <v>0.1182195260523602</v>
      </c>
      <c r="S61" s="3"/>
      <c r="T61" s="169" t="s">
        <v>132</v>
      </c>
      <c r="U61" s="329">
        <f>+U34+U33+U32+U20+U55+U52+U53+U24+U21+U15+U6+U54+U22+U23+U16+U7</f>
        <v>33225.5</v>
      </c>
      <c r="V61" s="439">
        <f>+V34+V33+V32+V20+V55+V52+V53+V24+V21+V15+V6+V54+V22+V23+V16+V7</f>
        <v>1571</v>
      </c>
      <c r="W61" s="275">
        <f>(U61-V61)/V61</f>
        <v>20.149267982176958</v>
      </c>
      <c r="X61" s="329">
        <f>+X34+X33+X32+X20+X55+X52+X53+X24+X21+X15+X6+X54+X22+X23+X16+X7</f>
        <v>353210.19999999995</v>
      </c>
      <c r="Y61" s="439">
        <f>+Y34+Y33+Y32+Y20+Y55+Y52+Y53+Y24+Y21+Y15+Y6+Y54+Y22+Y23+Y16+Y7</f>
        <v>847855</v>
      </c>
      <c r="Z61" s="350">
        <f>(X61-Y61)/Y61</f>
        <v>-0.58340730431500676</v>
      </c>
      <c r="AA61" s="399">
        <f>+X61/X62</f>
        <v>5.0083285020145422E-3</v>
      </c>
    </row>
    <row r="62" spans="1:27" ht="14.1" customHeight="1" thickBot="1" x14ac:dyDescent="0.25">
      <c r="B62" s="169" t="s">
        <v>133</v>
      </c>
      <c r="C62" s="330">
        <f>C50+C48+C44+C38+C36+C30+C18+C13+C4+C46+C26+C42+C9+C40+C28+C11+C57</f>
        <v>25593</v>
      </c>
      <c r="D62" s="440">
        <f>D50+D48+D44+D38+D36+D30+D18+D13+D4+D46+D26+D42+D9+D40+D28+D11+D57</f>
        <v>22762</v>
      </c>
      <c r="E62" s="331">
        <f>(C62-D62)/D62</f>
        <v>0.12437395659432388</v>
      </c>
      <c r="F62" s="330">
        <f>F50+F48+F44+F38+F36+F30+F18+F13+F4+F46+F26+F42+F9+F40+F28+F11+F57</f>
        <v>243219</v>
      </c>
      <c r="G62" s="440">
        <f>G50+G48+G44+G38+G36+G30+G18+G13+G4+G46+G26+G42+G9+G40+G28+G11+G57</f>
        <v>232752</v>
      </c>
      <c r="H62" s="331">
        <f>(F62-G62)/G62</f>
        <v>4.4970612497422152E-2</v>
      </c>
      <c r="I62" s="355">
        <f>+H62/H62</f>
        <v>1</v>
      </c>
      <c r="K62" s="169" t="s">
        <v>133</v>
      </c>
      <c r="L62" s="330">
        <f>L50+L48+L44+L38+L36+L30+L18+L13+L4+L46+L26+L42+L9+L40+L28+L11+L57</f>
        <v>2916278</v>
      </c>
      <c r="M62" s="440">
        <f>M50+M48+M44+M38+M36+M30+M18+M13+M4+M46+M26+M42+M9+M40+M28+M11+M57</f>
        <v>2603164</v>
      </c>
      <c r="N62" s="331">
        <f>(L62-M62)/M62</f>
        <v>0.12028208749045392</v>
      </c>
      <c r="O62" s="330">
        <f>O50+O48+O44+O38+O36+O30+O18+O13+O4+O46+O26+O42+O9+O40+O28+O11+O57</f>
        <v>28401112</v>
      </c>
      <c r="P62" s="440">
        <f>P50+P48+P44+P38+P36+P30+P18+P13+P4+P46+P26+P42+P9+P40+P28+P11+P57</f>
        <v>25474842</v>
      </c>
      <c r="Q62" s="397">
        <f>(O62-P62)/P62</f>
        <v>0.11486901469300576</v>
      </c>
      <c r="R62" s="355">
        <f>+Q62/Q62</f>
        <v>1</v>
      </c>
      <c r="S62" s="3"/>
      <c r="T62" s="169" t="s">
        <v>133</v>
      </c>
      <c r="U62" s="330">
        <f>U50+U48+U44+U38+U36+U30+U18+U13+U4+U46+U26+U42+U9+U40+U28+U11+U57</f>
        <v>8366403.5</v>
      </c>
      <c r="V62" s="440">
        <f>V50+V48+V44+V38+V36+V30+V18+V13+V4+V46+V26+V42+V9+V40+V28+V11+V57</f>
        <v>9198868</v>
      </c>
      <c r="W62" s="331">
        <f>(U62-V62)/V62</f>
        <v>-9.0496406731784829E-2</v>
      </c>
      <c r="X62" s="330">
        <f>X50+X48+X44+X38+X36+X30+X18+X13+X4+X46+X26+X42+X9+X40+X28+X11+X57</f>
        <v>70524567.200000003</v>
      </c>
      <c r="Y62" s="440">
        <f>Y50+Y48+Y44+Y38+Y36+Y30+Y18+Y13+Y4+Y46+Y26+Y42+Y9+Y40+Y28+Y11+Y57</f>
        <v>84291209</v>
      </c>
      <c r="Z62" s="397">
        <f>(X62-Y62)/Y62</f>
        <v>-0.16332239106927504</v>
      </c>
      <c r="AA62" s="355">
        <f>+Z62/Z62</f>
        <v>1</v>
      </c>
    </row>
    <row r="63" spans="1:27" x14ac:dyDescent="0.2">
      <c r="D63" s="3"/>
      <c r="F63" s="2"/>
      <c r="G63"/>
      <c r="H63"/>
      <c r="I63"/>
      <c r="J63"/>
      <c r="K63"/>
      <c r="M63"/>
      <c r="N63"/>
    </row>
    <row r="64" spans="1:27" x14ac:dyDescent="0.2">
      <c r="B64" s="169"/>
      <c r="E64"/>
      <c r="F64" s="2"/>
      <c r="H64"/>
      <c r="I64"/>
      <c r="J64"/>
      <c r="K64"/>
      <c r="N64"/>
      <c r="O64" s="2"/>
      <c r="P64" s="2"/>
      <c r="U64" s="95"/>
      <c r="V64" s="95"/>
      <c r="W64" s="95"/>
    </row>
    <row r="65" spans="3:23" x14ac:dyDescent="0.2">
      <c r="E65"/>
      <c r="F65" s="2"/>
      <c r="H65"/>
      <c r="I65"/>
      <c r="J65"/>
      <c r="K65"/>
      <c r="N65"/>
      <c r="O65" s="2"/>
      <c r="P65" s="2"/>
      <c r="U65" s="95"/>
      <c r="V65" s="95"/>
      <c r="W65" s="95"/>
    </row>
    <row r="66" spans="3:23" x14ac:dyDescent="0.2">
      <c r="E66"/>
      <c r="F66" s="2"/>
      <c r="H66"/>
      <c r="I66"/>
      <c r="J66"/>
      <c r="K66"/>
      <c r="N66"/>
      <c r="O66" s="2"/>
      <c r="P66" s="2"/>
      <c r="U66" s="95"/>
    </row>
    <row r="67" spans="3:23" x14ac:dyDescent="0.2">
      <c r="E67"/>
      <c r="F67" s="2"/>
      <c r="H67"/>
      <c r="I67"/>
      <c r="J67"/>
      <c r="K67"/>
      <c r="N67"/>
      <c r="O67" s="2"/>
      <c r="P67" s="2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23" x14ac:dyDescent="0.2">
      <c r="D70" s="3"/>
      <c r="F70"/>
      <c r="G70"/>
      <c r="H70"/>
      <c r="I70"/>
      <c r="J70"/>
      <c r="K70"/>
      <c r="L70"/>
      <c r="M70"/>
      <c r="N70"/>
    </row>
    <row r="71" spans="3:23" x14ac:dyDescent="0.2">
      <c r="D71" s="3"/>
      <c r="F71"/>
      <c r="G71"/>
      <c r="H71"/>
      <c r="I71"/>
      <c r="J71"/>
      <c r="K71"/>
      <c r="L71"/>
      <c r="M71"/>
      <c r="N71"/>
    </row>
    <row r="72" spans="3:23" x14ac:dyDescent="0.2">
      <c r="D72" s="3"/>
      <c r="F72"/>
      <c r="G72"/>
      <c r="H72"/>
      <c r="I72"/>
      <c r="J72"/>
      <c r="K72"/>
      <c r="L72"/>
      <c r="M72"/>
      <c r="N72"/>
    </row>
    <row r="73" spans="3:23" x14ac:dyDescent="0.2">
      <c r="D73" s="3"/>
      <c r="F73"/>
      <c r="G73"/>
      <c r="H73"/>
      <c r="I73"/>
      <c r="J73"/>
      <c r="K73"/>
      <c r="L73"/>
      <c r="M73"/>
      <c r="N73"/>
    </row>
    <row r="74" spans="3:23" x14ac:dyDescent="0.2">
      <c r="D74" s="3"/>
      <c r="F74"/>
      <c r="G74"/>
      <c r="H74"/>
      <c r="I74"/>
      <c r="J74"/>
      <c r="K74"/>
      <c r="L74"/>
      <c r="M74"/>
      <c r="N74"/>
    </row>
    <row r="75" spans="3:23" x14ac:dyDescent="0.2">
      <c r="D75" s="3"/>
      <c r="F75"/>
      <c r="G75"/>
      <c r="H75"/>
      <c r="I75"/>
      <c r="J75"/>
      <c r="K75"/>
      <c r="L75"/>
      <c r="M75"/>
      <c r="N75"/>
    </row>
    <row r="76" spans="3:23" x14ac:dyDescent="0.2">
      <c r="D76" s="3"/>
      <c r="F76"/>
      <c r="G76"/>
      <c r="H76"/>
      <c r="I76"/>
      <c r="J76"/>
      <c r="K76"/>
      <c r="L76"/>
      <c r="M76"/>
      <c r="N76"/>
    </row>
    <row r="77" spans="3:23" x14ac:dyDescent="0.2">
      <c r="D77" s="3"/>
      <c r="F77"/>
      <c r="G77"/>
      <c r="H77"/>
      <c r="I77"/>
      <c r="J77"/>
      <c r="K77"/>
      <c r="L77"/>
      <c r="M77"/>
      <c r="N77"/>
    </row>
    <row r="78" spans="3:23" x14ac:dyDescent="0.2">
      <c r="D78" s="3"/>
      <c r="F78"/>
      <c r="G78"/>
      <c r="H78"/>
      <c r="I78"/>
      <c r="J78"/>
      <c r="K78"/>
      <c r="L78"/>
      <c r="M78"/>
      <c r="N78"/>
    </row>
    <row r="79" spans="3:23" x14ac:dyDescent="0.2">
      <c r="D79" s="3"/>
      <c r="F79"/>
      <c r="G79"/>
      <c r="H79"/>
      <c r="I79"/>
      <c r="J79"/>
      <c r="K79"/>
      <c r="L79"/>
      <c r="M79"/>
      <c r="N79"/>
    </row>
    <row r="80" spans="3:23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71"/>
      <c r="K134"/>
    </row>
    <row r="135" spans="4:14" x14ac:dyDescent="0.2">
      <c r="F135" s="171"/>
      <c r="K135"/>
    </row>
    <row r="136" spans="4:14" x14ac:dyDescent="0.2">
      <c r="F136" s="171"/>
      <c r="K136"/>
    </row>
    <row r="137" spans="4:14" x14ac:dyDescent="0.2">
      <c r="F137" s="171"/>
      <c r="K137"/>
    </row>
    <row r="138" spans="4:14" x14ac:dyDescent="0.2">
      <c r="F138" s="171"/>
      <c r="K138"/>
    </row>
    <row r="139" spans="4:14" x14ac:dyDescent="0.2">
      <c r="F139" s="171"/>
      <c r="K139"/>
    </row>
    <row r="140" spans="4:14" x14ac:dyDescent="0.2">
      <c r="F140" s="171"/>
      <c r="K140"/>
    </row>
    <row r="141" spans="4:14" x14ac:dyDescent="0.2">
      <c r="F141" s="171"/>
      <c r="K141"/>
    </row>
    <row r="142" spans="4:14" x14ac:dyDescent="0.2">
      <c r="F142" s="171"/>
      <c r="K142"/>
    </row>
    <row r="143" spans="4:14" x14ac:dyDescent="0.2">
      <c r="F143" s="171"/>
      <c r="K143"/>
    </row>
    <row r="144" spans="4:14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October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L8" sqref="L8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96">
        <v>45200</v>
      </c>
      <c r="B1" s="326" t="s">
        <v>17</v>
      </c>
      <c r="C1" s="326" t="s">
        <v>18</v>
      </c>
      <c r="D1" s="326" t="s">
        <v>19</v>
      </c>
      <c r="E1" s="326" t="s">
        <v>153</v>
      </c>
      <c r="F1" s="326" t="s">
        <v>159</v>
      </c>
      <c r="G1" s="326" t="s">
        <v>154</v>
      </c>
      <c r="H1" s="403" t="s">
        <v>192</v>
      </c>
      <c r="I1" s="403" t="s">
        <v>187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[3]American!$IO$22</f>
        <v>52098</v>
      </c>
      <c r="C4" s="12">
        <f>[3]Delta!$IO$22+[3]Delta!$IO$32</f>
        <v>891092</v>
      </c>
      <c r="D4" s="12">
        <f>[3]United!$IO$22</f>
        <v>66630</v>
      </c>
      <c r="E4" s="12">
        <f>[3]Spirit!$IO$22</f>
        <v>17213</v>
      </c>
      <c r="F4" s="12">
        <f>[3]Condor!$IO$22+[3]Condor!$IO$32</f>
        <v>0</v>
      </c>
      <c r="G4" s="12">
        <f>'[3]Air France'!$IO$32</f>
        <v>0</v>
      </c>
      <c r="H4" s="12">
        <f>'[3]Jet Blue'!$IO$22</f>
        <v>6851</v>
      </c>
      <c r="I4" s="12">
        <f>[3]KLM!$IO$22+[3]KLM!$IO$32</f>
        <v>4379</v>
      </c>
      <c r="J4" s="12">
        <f>'Other Major Airline Stats'!K5</f>
        <v>268277</v>
      </c>
      <c r="K4" s="205">
        <f>SUM(B4:J4)</f>
        <v>1306540</v>
      </c>
    </row>
    <row r="5" spans="1:20" x14ac:dyDescent="0.2">
      <c r="A5" s="45" t="s">
        <v>31</v>
      </c>
      <c r="B5" s="7">
        <f>[3]American!$IO$23</f>
        <v>52696</v>
      </c>
      <c r="C5" s="7">
        <f>[3]Delta!$IO$23+[3]Delta!$IO$33</f>
        <v>887895</v>
      </c>
      <c r="D5" s="7">
        <f>[3]United!$IO$23</f>
        <v>66454</v>
      </c>
      <c r="E5" s="7">
        <f>[3]Spirit!$IO$23</f>
        <v>17465</v>
      </c>
      <c r="F5" s="7">
        <f>[3]Condor!$IO$23+[3]Condor!$IO$33</f>
        <v>0</v>
      </c>
      <c r="G5" s="7">
        <f>'[3]Air France'!$IO$33</f>
        <v>0</v>
      </c>
      <c r="H5" s="7">
        <f>'[3]Jet Blue'!$IO$23</f>
        <v>6894</v>
      </c>
      <c r="I5" s="7">
        <f>[3]KLM!$IO$23+[3]KLM!$IO$33</f>
        <v>3557</v>
      </c>
      <c r="J5" s="7">
        <f>'Other Major Airline Stats'!K6</f>
        <v>275672</v>
      </c>
      <c r="K5" s="206">
        <f>SUM(B5:J5)</f>
        <v>1310633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104794</v>
      </c>
      <c r="C6" s="24">
        <f t="shared" si="0"/>
        <v>1778987</v>
      </c>
      <c r="D6" s="24">
        <f t="shared" si="0"/>
        <v>133084</v>
      </c>
      <c r="E6" s="24">
        <f t="shared" si="0"/>
        <v>34678</v>
      </c>
      <c r="F6" s="24">
        <f t="shared" ref="F6:I6" si="1">SUM(F4:F5)</f>
        <v>0</v>
      </c>
      <c r="G6" s="24">
        <f t="shared" si="1"/>
        <v>0</v>
      </c>
      <c r="H6" s="24">
        <f t="shared" ref="H6" si="2">SUM(H4:H5)</f>
        <v>13745</v>
      </c>
      <c r="I6" s="24">
        <f t="shared" si="1"/>
        <v>7936</v>
      </c>
      <c r="J6" s="24">
        <f>SUM(J4:J5)</f>
        <v>543949</v>
      </c>
      <c r="K6" s="207">
        <f>SUM(B6:J6)</f>
        <v>2617173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[3]American!$IO$27</f>
        <v>1660</v>
      </c>
      <c r="C9" s="12">
        <f>[3]Delta!$IO$27+[3]Delta!$IO$37</f>
        <v>28816</v>
      </c>
      <c r="D9" s="12">
        <f>[3]United!$IO$27</f>
        <v>2446</v>
      </c>
      <c r="E9" s="12">
        <f>[3]Spirit!$IO$27</f>
        <v>110</v>
      </c>
      <c r="F9" s="12">
        <f>[3]Condor!$IO$27+[3]Condor!$IO$37</f>
        <v>0</v>
      </c>
      <c r="G9" s="12">
        <f>'[3]Air France'!$IO$37</f>
        <v>0</v>
      </c>
      <c r="H9" s="12">
        <f>'[3]Jet Blue'!$IO$27</f>
        <v>138</v>
      </c>
      <c r="I9" s="12">
        <f>[3]KLM!$IO$27+[3]KLM!$IO$37</f>
        <v>15</v>
      </c>
      <c r="J9" s="12">
        <f>'Other Major Airline Stats'!K10</f>
        <v>4836</v>
      </c>
      <c r="K9" s="205">
        <f>SUM(B9:J9)</f>
        <v>38021</v>
      </c>
      <c r="N9" s="230"/>
    </row>
    <row r="10" spans="1:20" x14ac:dyDescent="0.2">
      <c r="A10" s="45" t="s">
        <v>33</v>
      </c>
      <c r="B10" s="7">
        <f>[3]American!$IO$28</f>
        <v>2000</v>
      </c>
      <c r="C10" s="7">
        <f>[3]Delta!$IO$28+[3]Delta!$IO$38</f>
        <v>29181</v>
      </c>
      <c r="D10" s="7">
        <f>[3]United!$IO$28</f>
        <v>2581</v>
      </c>
      <c r="E10" s="7">
        <f>[3]Spirit!$IO$28</f>
        <v>143</v>
      </c>
      <c r="F10" s="7">
        <f>[3]Condor!$IO$28+[3]Condor!$IO$38</f>
        <v>0</v>
      </c>
      <c r="G10" s="7">
        <f>'[3]Air France'!$IO$38</f>
        <v>0</v>
      </c>
      <c r="H10" s="7">
        <f>'[3]Jet Blue'!$IO$28</f>
        <v>141</v>
      </c>
      <c r="I10" s="7">
        <f>[3]KLM!$IO$28+[3]KLM!$IO$38</f>
        <v>0</v>
      </c>
      <c r="J10" s="7">
        <f>'Other Major Airline Stats'!K11</f>
        <v>5054</v>
      </c>
      <c r="K10" s="206">
        <f>SUM(B10:J10)</f>
        <v>39100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3660</v>
      </c>
      <c r="C11" s="208">
        <f t="shared" si="3"/>
        <v>57997</v>
      </c>
      <c r="D11" s="208">
        <f t="shared" si="3"/>
        <v>5027</v>
      </c>
      <c r="E11" s="208">
        <f t="shared" si="3"/>
        <v>253</v>
      </c>
      <c r="F11" s="208">
        <f t="shared" ref="F11:I11" si="4">SUM(F9:F10)</f>
        <v>0</v>
      </c>
      <c r="G11" s="208">
        <f t="shared" si="4"/>
        <v>0</v>
      </c>
      <c r="H11" s="208">
        <f t="shared" ref="H11" si="5">SUM(H9:H10)</f>
        <v>279</v>
      </c>
      <c r="I11" s="208">
        <f t="shared" si="4"/>
        <v>15</v>
      </c>
      <c r="J11" s="208">
        <f t="shared" si="3"/>
        <v>9890</v>
      </c>
      <c r="K11" s="209">
        <f>SUM(B11:J11)</f>
        <v>77121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[3]American!$IO$4</f>
        <v>358</v>
      </c>
      <c r="C15" s="12">
        <f>[3]Delta!$IO$4+[3]Delta!$IO$15</f>
        <v>6471</v>
      </c>
      <c r="D15" s="12">
        <f>[3]United!$IO$4</f>
        <v>519</v>
      </c>
      <c r="E15" s="12">
        <f>[3]Spirit!$IO$4</f>
        <v>120</v>
      </c>
      <c r="F15" s="12">
        <f>[3]Condor!$IO$15</f>
        <v>0</v>
      </c>
      <c r="G15" s="12">
        <f>'[3]Air France'!$IO$15</f>
        <v>0</v>
      </c>
      <c r="H15" s="12">
        <f>'[3]Jet Blue'!$IO$4</f>
        <v>59</v>
      </c>
      <c r="I15" s="12">
        <f>[3]KLM!$IO$4+[3]KLM!$IO$15</f>
        <v>17</v>
      </c>
      <c r="J15" s="12">
        <f>'Other Major Airline Stats'!K16</f>
        <v>2024</v>
      </c>
      <c r="K15" s="17">
        <f>SUM(B15:J15)</f>
        <v>9568</v>
      </c>
    </row>
    <row r="16" spans="1:20" x14ac:dyDescent="0.2">
      <c r="A16" s="45" t="s">
        <v>23</v>
      </c>
      <c r="B16" s="7">
        <f>[3]American!$IO$5</f>
        <v>358</v>
      </c>
      <c r="C16" s="7">
        <f>[3]Delta!$IO$5+[3]Delta!$IO$16</f>
        <v>6462</v>
      </c>
      <c r="D16" s="7">
        <f>[3]United!$IO$5</f>
        <v>520</v>
      </c>
      <c r="E16" s="7">
        <f>[3]Spirit!$IO$5</f>
        <v>120</v>
      </c>
      <c r="F16" s="7">
        <f>[3]Condor!$IO$5+[3]Condor!$IO$16</f>
        <v>0</v>
      </c>
      <c r="G16" s="7">
        <f>'[3]Air France'!$IO$16</f>
        <v>0</v>
      </c>
      <c r="H16" s="7">
        <f>'[3]Jet Blue'!$IO$5</f>
        <v>59</v>
      </c>
      <c r="I16" s="7">
        <f>[3]KLM!$IO$5+[3]KLM!$IO$16</f>
        <v>17</v>
      </c>
      <c r="J16" s="7">
        <f>'Other Major Airline Stats'!K17</f>
        <v>2010</v>
      </c>
      <c r="K16" s="23">
        <f>SUM(B16:J16)</f>
        <v>9546</v>
      </c>
    </row>
    <row r="17" spans="1:11" x14ac:dyDescent="0.2">
      <c r="A17" s="45" t="s">
        <v>24</v>
      </c>
      <c r="B17" s="212">
        <f t="shared" ref="B17:J17" si="6">SUM(B15:B16)</f>
        <v>716</v>
      </c>
      <c r="C17" s="210">
        <f t="shared" si="6"/>
        <v>12933</v>
      </c>
      <c r="D17" s="210">
        <f t="shared" si="6"/>
        <v>1039</v>
      </c>
      <c r="E17" s="210">
        <f t="shared" si="6"/>
        <v>240</v>
      </c>
      <c r="F17" s="210">
        <f t="shared" ref="F17:I17" si="7">SUM(F15:F16)</f>
        <v>0</v>
      </c>
      <c r="G17" s="210">
        <f t="shared" si="7"/>
        <v>0</v>
      </c>
      <c r="H17" s="210">
        <f t="shared" ref="H17" si="8">SUM(H15:H16)</f>
        <v>118</v>
      </c>
      <c r="I17" s="210">
        <f t="shared" si="7"/>
        <v>34</v>
      </c>
      <c r="J17" s="210">
        <f t="shared" si="6"/>
        <v>4034</v>
      </c>
      <c r="K17" s="211">
        <f>SUM(B17:J17)</f>
        <v>19114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[3]American!$IO$8</f>
        <v>0</v>
      </c>
      <c r="C19" s="12">
        <f>[3]Delta!$IO$8</f>
        <v>1</v>
      </c>
      <c r="D19" s="12">
        <f>[3]United!$IO$8</f>
        <v>2</v>
      </c>
      <c r="E19" s="12">
        <f>[3]Spirit!$IO$8</f>
        <v>0</v>
      </c>
      <c r="F19" s="12">
        <f>[3]Condor!$IO$8</f>
        <v>0</v>
      </c>
      <c r="G19" s="12">
        <f>'[3]Air France'!$IO$8</f>
        <v>0</v>
      </c>
      <c r="H19" s="12">
        <f>'[3]Jet Blue'!$IO$8</f>
        <v>0</v>
      </c>
      <c r="I19" s="12">
        <f>[3]KLM!$IO$8</f>
        <v>0</v>
      </c>
      <c r="J19" s="12">
        <f>'Other Major Airline Stats'!K20</f>
        <v>102</v>
      </c>
      <c r="K19" s="17">
        <f>SUM(B19:J19)</f>
        <v>105</v>
      </c>
    </row>
    <row r="20" spans="1:11" x14ac:dyDescent="0.2">
      <c r="A20" s="45" t="s">
        <v>26</v>
      </c>
      <c r="B20" s="7">
        <f>[3]American!$IO$9</f>
        <v>0</v>
      </c>
      <c r="C20" s="7">
        <f>[3]Delta!$IO$9</f>
        <v>5</v>
      </c>
      <c r="D20" s="7">
        <f>[3]United!$IO$9</f>
        <v>2</v>
      </c>
      <c r="E20" s="7">
        <f>[3]Spirit!$IO$9</f>
        <v>0</v>
      </c>
      <c r="F20" s="7">
        <f>[3]Condor!$IO$9</f>
        <v>0</v>
      </c>
      <c r="G20" s="7">
        <f>'[3]Air France'!$IO$9</f>
        <v>0</v>
      </c>
      <c r="H20" s="7">
        <f>'[3]Jet Blue'!$IO$9</f>
        <v>0</v>
      </c>
      <c r="I20" s="7">
        <f>[3]KLM!$IO$9</f>
        <v>0</v>
      </c>
      <c r="J20" s="7">
        <f>'Other Major Airline Stats'!K21</f>
        <v>96</v>
      </c>
      <c r="K20" s="23">
        <f>SUM(B20:J20)</f>
        <v>103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6</v>
      </c>
      <c r="D21" s="210">
        <f t="shared" si="9"/>
        <v>4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198</v>
      </c>
      <c r="K21" s="145">
        <f>SUM(B21:J21)</f>
        <v>208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716</v>
      </c>
      <c r="C23" s="18">
        <f t="shared" si="12"/>
        <v>12939</v>
      </c>
      <c r="D23" s="18">
        <f t="shared" si="12"/>
        <v>1043</v>
      </c>
      <c r="E23" s="18">
        <f>E17+E21</f>
        <v>240</v>
      </c>
      <c r="F23" s="18">
        <f t="shared" ref="F23:I23" si="13">F17+F21</f>
        <v>0</v>
      </c>
      <c r="G23" s="18">
        <f t="shared" si="13"/>
        <v>0</v>
      </c>
      <c r="H23" s="18">
        <f t="shared" ref="H23" si="14">H17+H21</f>
        <v>118</v>
      </c>
      <c r="I23" s="18">
        <f t="shared" si="13"/>
        <v>34</v>
      </c>
      <c r="J23" s="18">
        <f t="shared" si="12"/>
        <v>4232</v>
      </c>
      <c r="K23" s="19">
        <f>SUM(B23:J23)</f>
        <v>19322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[3]American!$IO$47</f>
        <v>23522</v>
      </c>
      <c r="C28" s="12">
        <f>[3]Delta!$IO$47</f>
        <v>4055250</v>
      </c>
      <c r="D28" s="12">
        <f>[3]United!$IO$47</f>
        <v>91098</v>
      </c>
      <c r="E28" s="12">
        <f>[3]Spirit!$IO$47</f>
        <v>0</v>
      </c>
      <c r="F28" s="12">
        <f>[3]Condor!$IO$47</f>
        <v>0</v>
      </c>
      <c r="G28" s="12">
        <f>'[3]Air France'!$IO$47</f>
        <v>0</v>
      </c>
      <c r="H28" s="12">
        <f>'[3]Jet Blue'!$IO$47</f>
        <v>0</v>
      </c>
      <c r="I28" s="12">
        <f>[3]KLM!$IO$47</f>
        <v>423600</v>
      </c>
      <c r="J28" s="12">
        <f>'Other Major Airline Stats'!K28</f>
        <v>222613</v>
      </c>
      <c r="K28" s="17">
        <f>SUM(B28:J28)</f>
        <v>4816083</v>
      </c>
    </row>
    <row r="29" spans="1:11" x14ac:dyDescent="0.2">
      <c r="A29" s="45" t="s">
        <v>38</v>
      </c>
      <c r="B29" s="7">
        <f>[3]American!$IO$48</f>
        <v>2656</v>
      </c>
      <c r="C29" s="7">
        <f>[3]Delta!$IO$48</f>
        <v>2366630</v>
      </c>
      <c r="D29" s="7">
        <f>[3]United!$IO$48</f>
        <v>0</v>
      </c>
      <c r="E29" s="7">
        <f>[3]Spirit!$IO$48</f>
        <v>0</v>
      </c>
      <c r="F29" s="7">
        <f>[3]Condor!$IO$48</f>
        <v>0</v>
      </c>
      <c r="G29" s="7">
        <f>'[3]Air France'!$IO$48</f>
        <v>0</v>
      </c>
      <c r="H29" s="7">
        <f>'[3]Jet Blue'!$IO$48</f>
        <v>0</v>
      </c>
      <c r="I29" s="7">
        <f>[3]KLM!$IO$48</f>
        <v>0</v>
      </c>
      <c r="J29" s="7">
        <f>'Other Major Airline Stats'!K29</f>
        <v>0</v>
      </c>
      <c r="K29" s="23">
        <f>SUM(B29:J29)</f>
        <v>2369286</v>
      </c>
    </row>
    <row r="30" spans="1:11" x14ac:dyDescent="0.2">
      <c r="A30" s="49" t="s">
        <v>39</v>
      </c>
      <c r="B30" s="212">
        <f t="shared" ref="B30:J30" si="15">SUM(B28:B29)</f>
        <v>26178</v>
      </c>
      <c r="C30" s="212">
        <f t="shared" si="15"/>
        <v>6421880</v>
      </c>
      <c r="D30" s="212">
        <f t="shared" si="15"/>
        <v>91098</v>
      </c>
      <c r="E30" s="212">
        <f t="shared" si="15"/>
        <v>0</v>
      </c>
      <c r="F30" s="212">
        <f t="shared" ref="F30:I30" si="16">SUM(F28:F29)</f>
        <v>0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423600</v>
      </c>
      <c r="J30" s="212">
        <f t="shared" si="15"/>
        <v>222613</v>
      </c>
      <c r="K30" s="17">
        <f>SUM(B30:J30)</f>
        <v>7185369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[3]American!$IO$52</f>
        <v>4724</v>
      </c>
      <c r="C33" s="12">
        <f>[3]Delta!$IO$52</f>
        <v>517998</v>
      </c>
      <c r="D33" s="12">
        <f>[3]United!$IO$52</f>
        <v>70174</v>
      </c>
      <c r="E33" s="12">
        <f>[3]Spirit!$IO$52</f>
        <v>0</v>
      </c>
      <c r="F33" s="12">
        <f>[3]Condor!$IO$52</f>
        <v>0</v>
      </c>
      <c r="G33" s="12">
        <f>'[3]Air France'!$IO$52</f>
        <v>0</v>
      </c>
      <c r="H33" s="12">
        <f>'[3]Jet Blue'!$IO$52</f>
        <v>0</v>
      </c>
      <c r="I33" s="12">
        <f>[3]KLM!$IO$52</f>
        <v>40849</v>
      </c>
      <c r="J33" s="12">
        <f>'Other Major Airline Stats'!K33</f>
        <v>61238</v>
      </c>
      <c r="K33" s="17">
        <f t="shared" si="18"/>
        <v>694983</v>
      </c>
    </row>
    <row r="34" spans="1:11" x14ac:dyDescent="0.2">
      <c r="A34" s="45" t="s">
        <v>38</v>
      </c>
      <c r="B34" s="7">
        <f>[3]American!$IO$53</f>
        <v>1979</v>
      </c>
      <c r="C34" s="7">
        <f>[3]Delta!$IO$53</f>
        <v>450241</v>
      </c>
      <c r="D34" s="7">
        <f>[3]United!$IO$53</f>
        <v>0</v>
      </c>
      <c r="E34" s="7">
        <f>[3]Spirit!$IO$53</f>
        <v>0</v>
      </c>
      <c r="F34" s="7">
        <f>[3]Condor!$IO$53</f>
        <v>0</v>
      </c>
      <c r="G34" s="7">
        <f>'[3]Air France'!$IO$53</f>
        <v>0</v>
      </c>
      <c r="H34" s="7">
        <f>'[3]Jet Blue'!$IO$53</f>
        <v>0</v>
      </c>
      <c r="I34" s="7">
        <f>[3]KLM!$IO$53</f>
        <v>0</v>
      </c>
      <c r="J34" s="7">
        <f>'Other Major Airline Stats'!K34</f>
        <v>606</v>
      </c>
      <c r="K34" s="23">
        <f t="shared" si="18"/>
        <v>452826</v>
      </c>
    </row>
    <row r="35" spans="1:11" x14ac:dyDescent="0.2">
      <c r="A35" s="49" t="s">
        <v>41</v>
      </c>
      <c r="B35" s="212">
        <f t="shared" ref="B35:J35" si="19">SUM(B33:B34)</f>
        <v>6703</v>
      </c>
      <c r="C35" s="212">
        <f t="shared" si="19"/>
        <v>968239</v>
      </c>
      <c r="D35" s="212">
        <f t="shared" si="19"/>
        <v>70174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40849</v>
      </c>
      <c r="J35" s="212">
        <f t="shared" si="19"/>
        <v>61844</v>
      </c>
      <c r="K35" s="17">
        <f t="shared" si="18"/>
        <v>1147809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[3]American!$IO$57</f>
        <v>0</v>
      </c>
      <c r="C38" s="12">
        <f>[3]Delta!$IO$57</f>
        <v>0</v>
      </c>
      <c r="D38" s="12">
        <f>[3]United!$IO$57</f>
        <v>0</v>
      </c>
      <c r="E38" s="12">
        <f>[3]Spirit!$IO$57</f>
        <v>0</v>
      </c>
      <c r="F38" s="12">
        <f>[3]Condor!$IO$57</f>
        <v>0</v>
      </c>
      <c r="G38" s="12">
        <f>'[3]Air France'!$IO$57</f>
        <v>0</v>
      </c>
      <c r="H38" s="12">
        <f>'[3]Jet Blue'!$IO$57</f>
        <v>0</v>
      </c>
      <c r="I38" s="12">
        <f>[3]KLM!$IO$57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[3]American!$IO$58</f>
        <v>0</v>
      </c>
      <c r="C39" s="7">
        <f>[3]Delta!$IO$58</f>
        <v>0</v>
      </c>
      <c r="D39" s="7">
        <f>[3]United!$IO$58</f>
        <v>0</v>
      </c>
      <c r="E39" s="7">
        <f>[3]Spirit!$IO$58</f>
        <v>0</v>
      </c>
      <c r="F39" s="7">
        <f>[3]Condor!$IO$58</f>
        <v>0</v>
      </c>
      <c r="G39" s="7">
        <f>'[3]Air France'!$IO$58</f>
        <v>0</v>
      </c>
      <c r="H39" s="7">
        <f>'[3]Jet Blue'!$IO$58</f>
        <v>0</v>
      </c>
      <c r="I39" s="7">
        <f>[3]KLM!$IO$58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28246</v>
      </c>
      <c r="C43" s="12">
        <f t="shared" si="25"/>
        <v>4573248</v>
      </c>
      <c r="D43" s="12">
        <f t="shared" si="25"/>
        <v>161272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464449</v>
      </c>
      <c r="J43" s="12">
        <f t="shared" si="25"/>
        <v>283851</v>
      </c>
      <c r="K43" s="17">
        <f>SUM(B43:J43)</f>
        <v>5511066</v>
      </c>
    </row>
    <row r="44" spans="1:11" x14ac:dyDescent="0.2">
      <c r="A44" s="45" t="s">
        <v>38</v>
      </c>
      <c r="B44" s="7">
        <f t="shared" si="25"/>
        <v>4635</v>
      </c>
      <c r="C44" s="7">
        <f t="shared" si="25"/>
        <v>2816871</v>
      </c>
      <c r="D44" s="7">
        <f t="shared" si="25"/>
        <v>0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606</v>
      </c>
      <c r="K44" s="17">
        <f>SUM(B44:J44)</f>
        <v>2822112</v>
      </c>
    </row>
    <row r="45" spans="1:11" ht="15.75" thickBot="1" x14ac:dyDescent="0.3">
      <c r="A45" s="46" t="s">
        <v>46</v>
      </c>
      <c r="B45" s="213">
        <f t="shared" ref="B45:J45" si="30">SUM(B43:B44)</f>
        <v>32881</v>
      </c>
      <c r="C45" s="213">
        <f t="shared" si="30"/>
        <v>7390119</v>
      </c>
      <c r="D45" s="213">
        <f t="shared" si="30"/>
        <v>161272</v>
      </c>
      <c r="E45" s="213">
        <f t="shared" si="30"/>
        <v>0</v>
      </c>
      <c r="F45" s="213">
        <f t="shared" ref="F45:I45" si="31">SUM(F43:F44)</f>
        <v>0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464449</v>
      </c>
      <c r="J45" s="213">
        <f t="shared" si="30"/>
        <v>284457</v>
      </c>
      <c r="K45" s="214">
        <f>SUM(B45:J45)</f>
        <v>8333178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120</v>
      </c>
      <c r="C47" s="239">
        <f>[3]Delta!$IO$70+[3]Delta!$IO$73</f>
        <v>515114</v>
      </c>
      <c r="D47" s="227"/>
      <c r="E47" s="227"/>
      <c r="F47" s="227"/>
      <c r="G47" s="227"/>
      <c r="H47" s="227"/>
      <c r="I47" s="227"/>
      <c r="J47" s="227"/>
      <c r="K47" s="228">
        <f>SUM(B47:J47)</f>
        <v>515114</v>
      </c>
    </row>
    <row r="48" spans="1:11" hidden="1" x14ac:dyDescent="0.2">
      <c r="A48" s="277" t="s">
        <v>121</v>
      </c>
      <c r="C48" s="239">
        <f>[3]Delta!$IO$71+[3]Delta!$IO$74</f>
        <v>372781</v>
      </c>
      <c r="D48" s="227"/>
      <c r="E48" s="227"/>
      <c r="F48" s="227"/>
      <c r="G48" s="227"/>
      <c r="H48" s="227"/>
      <c r="I48" s="227"/>
      <c r="J48" s="227"/>
      <c r="K48" s="228">
        <f>SUM(B48:J48)</f>
        <v>372781</v>
      </c>
    </row>
    <row r="49" spans="1:11" hidden="1" x14ac:dyDescent="0.2">
      <c r="A49" s="278" t="s">
        <v>122</v>
      </c>
      <c r="C49" s="240">
        <f>SUM(C47:C48)</f>
        <v>887895</v>
      </c>
      <c r="K49" s="228">
        <f>SUM(B49:J49)</f>
        <v>887895</v>
      </c>
    </row>
    <row r="50" spans="1:11" x14ac:dyDescent="0.2">
      <c r="A50" s="276" t="s">
        <v>120</v>
      </c>
      <c r="B50" s="287"/>
      <c r="C50" s="242">
        <f>[3]Delta!$IO$70+[3]Delta!$IO$73</f>
        <v>515114</v>
      </c>
      <c r="D50" s="287"/>
      <c r="E50" s="242">
        <f>[3]Spirit!$IO$70+[3]Spirit!$IO$73</f>
        <v>0</v>
      </c>
      <c r="F50" s="287"/>
      <c r="G50" s="287"/>
      <c r="H50" s="287"/>
      <c r="I50" s="287"/>
      <c r="J50" s="241">
        <f>'Other Major Airline Stats'!K48</f>
        <v>240030</v>
      </c>
      <c r="K50" s="231">
        <f>SUM(B50:J50)</f>
        <v>755144</v>
      </c>
    </row>
    <row r="51" spans="1:11" x14ac:dyDescent="0.2">
      <c r="A51" s="289" t="s">
        <v>121</v>
      </c>
      <c r="B51" s="287"/>
      <c r="C51" s="242">
        <f>[3]Delta!$IO$71+[3]Delta!$IO$74</f>
        <v>372781</v>
      </c>
      <c r="D51" s="287"/>
      <c r="E51" s="242">
        <f>[3]Spirit!$IO$71+[3]Spirit!$IO$74</f>
        <v>0</v>
      </c>
      <c r="F51" s="287"/>
      <c r="G51" s="287"/>
      <c r="H51" s="287"/>
      <c r="I51" s="287"/>
      <c r="J51" s="241">
        <f>+'Other Major Airline Stats'!K49</f>
        <v>470</v>
      </c>
      <c r="K51" s="231">
        <f>SUM(B51:J51)</f>
        <v>373251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Q11" sqref="Q11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45200</v>
      </c>
      <c r="B2" s="326" t="s">
        <v>47</v>
      </c>
      <c r="C2" s="325" t="s">
        <v>219</v>
      </c>
      <c r="D2" s="325" t="s">
        <v>196</v>
      </c>
      <c r="E2" s="325" t="s">
        <v>212</v>
      </c>
      <c r="F2" s="325" t="s">
        <v>246</v>
      </c>
      <c r="G2" s="326" t="s">
        <v>48</v>
      </c>
      <c r="H2" s="325" t="s">
        <v>128</v>
      </c>
      <c r="I2" s="325" t="s">
        <v>49</v>
      </c>
      <c r="J2" s="325" t="s">
        <v>127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[3]Frontier!$IO$22+[3]Frontier!$IO$32</f>
        <v>10701</v>
      </c>
      <c r="C5" s="95">
        <f>'[3]Allegiant '!$IO$22</f>
        <v>4888</v>
      </c>
      <c r="D5" s="95">
        <f>'[3]Aer Lingus'!$IO$22+'[3]Aer Lingus'!$IO$32</f>
        <v>0</v>
      </c>
      <c r="E5" s="95">
        <f>'[3]Denver Air'!$IO$22+'[3]Denver Air'!$IO$32</f>
        <v>924</v>
      </c>
      <c r="F5" s="95">
        <f>[3]WestJet!$IO$22+[3]WestJet!$IO$32</f>
        <v>1440</v>
      </c>
      <c r="G5" s="95">
        <f>[3]Icelandair!$IO$32</f>
        <v>2913</v>
      </c>
      <c r="H5" s="95">
        <f>[3]Southwest!$IO$22</f>
        <v>83135</v>
      </c>
      <c r="I5" s="95">
        <f>'[3]Sun Country'!$IO$22+'[3]Sun Country'!$IO$32</f>
        <v>152417</v>
      </c>
      <c r="J5" s="95">
        <f>[3]Alaska!$IO$22</f>
        <v>11859</v>
      </c>
      <c r="K5" s="118">
        <f>SUM(B5:J5)</f>
        <v>268277</v>
      </c>
      <c r="N5" s="95"/>
    </row>
    <row r="6" spans="1:14" x14ac:dyDescent="0.2">
      <c r="A6" s="45" t="s">
        <v>31</v>
      </c>
      <c r="B6" s="95">
        <f>[3]Frontier!$IO$23+[3]Frontier!$IO$33</f>
        <v>10529</v>
      </c>
      <c r="C6" s="95">
        <f>'[3]Allegiant '!$IO$23</f>
        <v>4523</v>
      </c>
      <c r="D6" s="95">
        <f>'[3]Aer Lingus'!$IO$23+'[3]Aer Lingus'!$IO$33</f>
        <v>0</v>
      </c>
      <c r="E6" s="95">
        <f>'[3]Denver Air'!$IO$23+'[3]Denver Air'!$IO$33</f>
        <v>837</v>
      </c>
      <c r="F6" s="95">
        <f>[3]WestJet!$IO$23+[3]WestJet!$IO$33</f>
        <v>4740</v>
      </c>
      <c r="G6" s="95">
        <f>[3]Icelandair!$IO$33</f>
        <v>2376</v>
      </c>
      <c r="H6" s="95">
        <f>[3]Southwest!$IO$23</f>
        <v>86474</v>
      </c>
      <c r="I6" s="95">
        <f>'[3]Sun Country'!$IO$23+'[3]Sun Country'!$IO$33</f>
        <v>154026</v>
      </c>
      <c r="J6" s="95">
        <f>[3]Alaska!$IO$23</f>
        <v>12167</v>
      </c>
      <c r="K6" s="118">
        <f>SUM(B6:J6)</f>
        <v>275672</v>
      </c>
    </row>
    <row r="7" spans="1:14" ht="15" x14ac:dyDescent="0.25">
      <c r="A7" s="43" t="s">
        <v>7</v>
      </c>
      <c r="B7" s="126">
        <f>SUM(B5:B6)</f>
        <v>21230</v>
      </c>
      <c r="C7" s="126">
        <f t="shared" ref="C7:F7" si="0">SUM(C5:C6)</f>
        <v>9411</v>
      </c>
      <c r="D7" s="126">
        <f>SUM(D5:D6)</f>
        <v>0</v>
      </c>
      <c r="E7" s="126">
        <f>SUM(E5:E6)</f>
        <v>1761</v>
      </c>
      <c r="F7" s="126">
        <f t="shared" si="0"/>
        <v>6180</v>
      </c>
      <c r="G7" s="126">
        <f t="shared" ref="G7:J7" si="1">SUM(G5:G6)</f>
        <v>5289</v>
      </c>
      <c r="H7" s="126">
        <f t="shared" si="1"/>
        <v>169609</v>
      </c>
      <c r="I7" s="126">
        <f>SUM(I5:I6)</f>
        <v>306443</v>
      </c>
      <c r="J7" s="126">
        <f t="shared" si="1"/>
        <v>24026</v>
      </c>
      <c r="K7" s="127">
        <f>SUM(B7:J7)</f>
        <v>543949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[3]Frontier!$IO$27+[3]Frontier!$IO$37</f>
        <v>51</v>
      </c>
      <c r="C10" s="125">
        <f>'[3]Allegiant '!$IO$27</f>
        <v>0</v>
      </c>
      <c r="D10" s="359">
        <f>'[3]Aer Lingus'!$IO$27+'[3]Aer Lingus'!$IO$37</f>
        <v>0</v>
      </c>
      <c r="E10" s="125">
        <f>'[3]Denver Air'!$IO$27+'[3]Denver Air'!$IO$37</f>
        <v>29</v>
      </c>
      <c r="F10" s="125">
        <f>[3]WestJet!$IO$27+[3]WestJet!$IO$37</f>
        <v>0</v>
      </c>
      <c r="G10" s="125">
        <f>[3]Icelandair!$IO$37</f>
        <v>29</v>
      </c>
      <c r="H10" s="125">
        <f>[3]Southwest!$IO$27</f>
        <v>1623</v>
      </c>
      <c r="I10" s="125">
        <f>'[3]Sun Country'!$IO$27+'[3]Sun Country'!$IO$37</f>
        <v>2651</v>
      </c>
      <c r="J10" s="125">
        <f>[3]Alaska!$IO$27</f>
        <v>453</v>
      </c>
      <c r="K10" s="118">
        <f>SUM(B10:J10)</f>
        <v>4836</v>
      </c>
    </row>
    <row r="11" spans="1:14" x14ac:dyDescent="0.2">
      <c r="A11" s="45" t="s">
        <v>33</v>
      </c>
      <c r="B11" s="128">
        <f>[3]Frontier!$IO$28+[3]Frontier!$IO$38</f>
        <v>73</v>
      </c>
      <c r="C11" s="128">
        <f>'[3]Allegiant '!$IO$28</f>
        <v>0</v>
      </c>
      <c r="D11" s="128">
        <f>'[3]Aer Lingus'!$IO$28+'[3]Aer Lingus'!$IO$38</f>
        <v>0</v>
      </c>
      <c r="E11" s="128">
        <f>'[3]Denver Air'!$IO$28+'[3]Denver Air'!$IO$38</f>
        <v>32</v>
      </c>
      <c r="F11" s="128">
        <f>[3]WestJet!$IO$28+[3]WestJet!$IO$38</f>
        <v>1</v>
      </c>
      <c r="G11" s="128">
        <f>[3]Icelandair!$IO$38</f>
        <v>28</v>
      </c>
      <c r="H11" s="128">
        <f>[3]Southwest!$IO$28</f>
        <v>1727</v>
      </c>
      <c r="I11" s="128">
        <f>'[3]Sun Country'!$IO$28+'[3]Sun Country'!$IO$38</f>
        <v>2696</v>
      </c>
      <c r="J11" s="128">
        <f>[3]Alaska!$IO$28</f>
        <v>497</v>
      </c>
      <c r="K11" s="118">
        <f>SUM(B11:J11)</f>
        <v>5054</v>
      </c>
    </row>
    <row r="12" spans="1:14" ht="15.75" thickBot="1" x14ac:dyDescent="0.3">
      <c r="A12" s="46" t="s">
        <v>34</v>
      </c>
      <c r="B12" s="121">
        <f>SUM(B10:B11)</f>
        <v>124</v>
      </c>
      <c r="C12" s="121">
        <f t="shared" ref="C12:F12" si="2">SUM(C10:C11)</f>
        <v>0</v>
      </c>
      <c r="D12" s="121">
        <f>SUM(D10:D11)</f>
        <v>0</v>
      </c>
      <c r="E12" s="121">
        <f>SUM(E10:E11)</f>
        <v>61</v>
      </c>
      <c r="F12" s="121">
        <f t="shared" si="2"/>
        <v>1</v>
      </c>
      <c r="G12" s="121">
        <f t="shared" ref="G12:J12" si="3">SUM(G10:G11)</f>
        <v>57</v>
      </c>
      <c r="H12" s="121">
        <f t="shared" si="3"/>
        <v>3350</v>
      </c>
      <c r="I12" s="121">
        <f>SUM(I10:I11)</f>
        <v>5347</v>
      </c>
      <c r="J12" s="121">
        <f t="shared" si="3"/>
        <v>950</v>
      </c>
      <c r="K12" s="129">
        <f>SUM(B12:J12)</f>
        <v>9890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[3]Frontier!$IO$4+[3]Frontier!$IO$15</f>
        <v>62</v>
      </c>
      <c r="C16" s="85">
        <f>'[3]Allegiant '!$IO$4</f>
        <v>35</v>
      </c>
      <c r="D16" s="95">
        <f>'[3]Aer Lingus'!$IO$4+'[3]Aer Lingus'!$IO$15</f>
        <v>0</v>
      </c>
      <c r="E16" s="95">
        <f>'[3]Denver Air'!$IO$4+'[3]Denver Air'!$IO$15</f>
        <v>80</v>
      </c>
      <c r="F16" s="85">
        <f>[3]WestJet!$IO$4+[3]WestJet!$IO$15</f>
        <v>35</v>
      </c>
      <c r="G16" s="95">
        <f>[3]Icelandair!$IO$15</f>
        <v>18</v>
      </c>
      <c r="H16" s="85">
        <f>[3]Southwest!$IO$4</f>
        <v>728</v>
      </c>
      <c r="I16" s="95">
        <f>'[3]Sun Country'!$IO$4+'[3]Sun Country'!$IO$15</f>
        <v>979</v>
      </c>
      <c r="J16" s="95">
        <f>[3]Alaska!$IO$4</f>
        <v>87</v>
      </c>
      <c r="K16" s="118">
        <f>SUM(B16:J16)</f>
        <v>2024</v>
      </c>
    </row>
    <row r="17" spans="1:258" x14ac:dyDescent="0.2">
      <c r="A17" s="45" t="s">
        <v>23</v>
      </c>
      <c r="B17" s="95">
        <f>[3]Frontier!$IO$5+[3]Frontier!$IO$16</f>
        <v>62</v>
      </c>
      <c r="C17" s="85">
        <f>'[3]Allegiant '!$IO$5</f>
        <v>35</v>
      </c>
      <c r="D17" s="95">
        <f>'[3]Aer Lingus'!$IO$5+'[3]Aer Lingus'!$IO$16</f>
        <v>0</v>
      </c>
      <c r="E17" s="95">
        <f>'[3]Denver Air'!$IO$5+'[3]Denver Air'!$IO$16</f>
        <v>80</v>
      </c>
      <c r="F17" s="85">
        <f>[3]WestJet!$IO$5+[3]WestJet!$IO$16</f>
        <v>35</v>
      </c>
      <c r="G17" s="95">
        <f>[3]Icelandair!$IO$16</f>
        <v>18</v>
      </c>
      <c r="H17" s="85">
        <f>[3]Southwest!$IO$5</f>
        <v>725</v>
      </c>
      <c r="I17" s="95">
        <f>'[3]Sun Country'!$IO$5+'[3]Sun Country'!$IO$16</f>
        <v>966</v>
      </c>
      <c r="J17" s="95">
        <f>[3]Alaska!$IO$5</f>
        <v>89</v>
      </c>
      <c r="K17" s="118">
        <f>SUM(B17:J17)</f>
        <v>2010</v>
      </c>
    </row>
    <row r="18" spans="1:258" x14ac:dyDescent="0.2">
      <c r="A18" s="49" t="s">
        <v>24</v>
      </c>
      <c r="B18" s="119">
        <f t="shared" ref="B18" si="4">SUM(B16:B17)</f>
        <v>124</v>
      </c>
      <c r="C18" s="119">
        <f t="shared" ref="C18:F18" si="5">SUM(C16:C17)</f>
        <v>70</v>
      </c>
      <c r="D18" s="119">
        <f t="shared" si="5"/>
        <v>0</v>
      </c>
      <c r="E18" s="119">
        <f t="shared" si="5"/>
        <v>160</v>
      </c>
      <c r="F18" s="119">
        <f t="shared" si="5"/>
        <v>70</v>
      </c>
      <c r="G18" s="119">
        <f t="shared" ref="G18:J18" si="6">SUM(G16:G17)</f>
        <v>36</v>
      </c>
      <c r="H18" s="119">
        <f t="shared" si="6"/>
        <v>1453</v>
      </c>
      <c r="I18" s="119">
        <f t="shared" si="6"/>
        <v>1945</v>
      </c>
      <c r="J18" s="119">
        <f t="shared" si="6"/>
        <v>176</v>
      </c>
      <c r="K18" s="120">
        <f>SUM(B18:J18)</f>
        <v>4034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[3]Frontier!$IO$8</f>
        <v>0</v>
      </c>
      <c r="C20" s="95">
        <f>'[3]Allegiant '!$IO$8</f>
        <v>0</v>
      </c>
      <c r="D20" s="95">
        <f>'[3]Aer Lingus'!$IO$8</f>
        <v>0</v>
      </c>
      <c r="E20" s="95">
        <f>'[3]Denver Air'!$IO$8</f>
        <v>0</v>
      </c>
      <c r="F20" s="95">
        <f>[3]WestJet!$IO$8</f>
        <v>0</v>
      </c>
      <c r="G20" s="95">
        <f>[3]Icelandair!$IO$8</f>
        <v>0</v>
      </c>
      <c r="H20" s="95">
        <f>[3]Southwest!$IO$8</f>
        <v>0</v>
      </c>
      <c r="I20" s="95">
        <f>'[3]Sun Country'!$IO$8</f>
        <v>100</v>
      </c>
      <c r="J20" s="95">
        <f>[3]Alaska!$IO$8</f>
        <v>2</v>
      </c>
      <c r="K20" s="118">
        <f>SUM(B20:J20)</f>
        <v>102</v>
      </c>
    </row>
    <row r="21" spans="1:258" x14ac:dyDescent="0.2">
      <c r="A21" s="45" t="s">
        <v>26</v>
      </c>
      <c r="B21" s="95">
        <f>[3]Frontier!$IO$9</f>
        <v>0</v>
      </c>
      <c r="C21" s="95">
        <f>'[3]Allegiant '!$IO$9</f>
        <v>0</v>
      </c>
      <c r="D21" s="95">
        <f>'[3]Aer Lingus'!$IO$9</f>
        <v>0</v>
      </c>
      <c r="E21" s="95">
        <f>'[3]Denver Air'!$IO$9</f>
        <v>0</v>
      </c>
      <c r="F21" s="95">
        <f>[3]WestJet!$IO$9</f>
        <v>0</v>
      </c>
      <c r="G21" s="95">
        <f>[3]Icelandair!$IO$9</f>
        <v>0</v>
      </c>
      <c r="H21" s="95">
        <f>[3]Southwest!$IO$9</f>
        <v>0</v>
      </c>
      <c r="I21" s="95">
        <f>'[3]Sun Country'!$IO$9</f>
        <v>95</v>
      </c>
      <c r="J21" s="95">
        <f>[3]Alaska!$IO$9</f>
        <v>1</v>
      </c>
      <c r="K21" s="118">
        <f>SUM(B21:J21)</f>
        <v>96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195</v>
      </c>
      <c r="J22" s="119">
        <f t="shared" si="9"/>
        <v>3</v>
      </c>
      <c r="K22" s="120">
        <f>SUM(B22:J22)</f>
        <v>198</v>
      </c>
    </row>
    <row r="23" spans="1:258" ht="15.75" thickBot="1" x14ac:dyDescent="0.3">
      <c r="A23" s="46" t="s">
        <v>28</v>
      </c>
      <c r="B23" s="121">
        <f t="shared" ref="B23" si="10">B22+B18</f>
        <v>124</v>
      </c>
      <c r="C23" s="121">
        <f t="shared" ref="C23:F23" si="11">C22+C18</f>
        <v>70</v>
      </c>
      <c r="D23" s="121">
        <f t="shared" si="11"/>
        <v>0</v>
      </c>
      <c r="E23" s="121">
        <f t="shared" si="11"/>
        <v>160</v>
      </c>
      <c r="F23" s="121">
        <f t="shared" si="11"/>
        <v>70</v>
      </c>
      <c r="G23" s="121">
        <f t="shared" ref="G23:J23" si="12">G22+G18</f>
        <v>36</v>
      </c>
      <c r="H23" s="121">
        <f t="shared" si="12"/>
        <v>1453</v>
      </c>
      <c r="I23" s="121">
        <f>I22+I18</f>
        <v>2140</v>
      </c>
      <c r="J23" s="121">
        <f t="shared" si="12"/>
        <v>179</v>
      </c>
      <c r="K23" s="122">
        <f>SUM(B23:J23)</f>
        <v>4232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[3]Frontier!$IO$47</f>
        <v>0</v>
      </c>
      <c r="C28" s="95">
        <f>'[3]Allegiant '!$IO$47</f>
        <v>0</v>
      </c>
      <c r="D28" s="95">
        <f>'[3]Aer Lingus'!$IO$47</f>
        <v>0</v>
      </c>
      <c r="E28" s="95">
        <f>'[3]Denver Air'!$IO$47</f>
        <v>0</v>
      </c>
      <c r="F28" s="95">
        <f>[3]WestJet!$IO$47</f>
        <v>0</v>
      </c>
      <c r="G28" s="95">
        <f>[3]Icelandair!$IO$47</f>
        <v>1708</v>
      </c>
      <c r="H28" s="95">
        <f>[3]Southwest!$IO$47</f>
        <v>195140</v>
      </c>
      <c r="I28" s="95">
        <f>'[3]Sun Country'!$IO$47</f>
        <v>0</v>
      </c>
      <c r="J28" s="95">
        <f>[3]Alaska!$IO$47</f>
        <v>25765</v>
      </c>
      <c r="K28" s="118">
        <f>SUM(B28:J28)</f>
        <v>222613</v>
      </c>
    </row>
    <row r="29" spans="1:258" x14ac:dyDescent="0.2">
      <c r="A29" s="45" t="s">
        <v>38</v>
      </c>
      <c r="B29" s="95">
        <f>[3]Frontier!$IO$48</f>
        <v>0</v>
      </c>
      <c r="C29" s="95">
        <f>'[3]Allegiant '!$IO$48</f>
        <v>0</v>
      </c>
      <c r="D29" s="95">
        <f>'[3]Aer Lingus'!$IO$48</f>
        <v>0</v>
      </c>
      <c r="E29" s="95">
        <f>'[3]Denver Air'!$IO$48</f>
        <v>0</v>
      </c>
      <c r="F29" s="95">
        <f>[3]WestJet!$IO$48</f>
        <v>0</v>
      </c>
      <c r="G29" s="95">
        <f>[3]Icelandair!$IO$48</f>
        <v>0</v>
      </c>
      <c r="H29" s="95">
        <f>[3]Southwest!$IO$48</f>
        <v>0</v>
      </c>
      <c r="I29" s="95">
        <f>'[3]Sun Country'!$IO$48</f>
        <v>0</v>
      </c>
      <c r="J29" s="95">
        <f>[3]Alaska!$IO$48</f>
        <v>0</v>
      </c>
      <c r="K29" s="118">
        <f>SUM(B29:J29)</f>
        <v>0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1708</v>
      </c>
      <c r="H30" s="133">
        <f t="shared" si="15"/>
        <v>195140</v>
      </c>
      <c r="I30" s="133">
        <f t="shared" si="15"/>
        <v>0</v>
      </c>
      <c r="J30" s="133">
        <f t="shared" si="15"/>
        <v>25765</v>
      </c>
      <c r="K30" s="135">
        <f>SUM(B30:J30)</f>
        <v>222613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[3]Frontier!$IO$52</f>
        <v>0</v>
      </c>
      <c r="C33" s="95">
        <f>'[3]Allegiant '!$IO$52</f>
        <v>0</v>
      </c>
      <c r="D33" s="95">
        <f>'[3]Aer Lingus'!$IO$52</f>
        <v>0</v>
      </c>
      <c r="E33" s="95">
        <f>'[3]Denver Air'!$IO$52</f>
        <v>0</v>
      </c>
      <c r="F33" s="95">
        <f>[3]WestJet!$IO$52</f>
        <v>0</v>
      </c>
      <c r="G33" s="95">
        <f>[3]Icelandair!$IO$52</f>
        <v>0</v>
      </c>
      <c r="H33" s="95">
        <f>[3]Southwest!$IO$52</f>
        <v>51493</v>
      </c>
      <c r="I33" s="95">
        <f>'[3]Sun Country'!$IO$52</f>
        <v>0</v>
      </c>
      <c r="J33" s="95">
        <f>[3]Alaska!$IO$52</f>
        <v>9745</v>
      </c>
      <c r="K33" s="118">
        <f>SUM(B33:J33)</f>
        <v>61238</v>
      </c>
    </row>
    <row r="34" spans="1:11" x14ac:dyDescent="0.2">
      <c r="A34" s="45" t="s">
        <v>38</v>
      </c>
      <c r="B34" s="95">
        <f>[3]Frontier!$IO$53</f>
        <v>0</v>
      </c>
      <c r="C34" s="95">
        <f>'[3]Allegiant '!$IO$53</f>
        <v>0</v>
      </c>
      <c r="D34" s="95">
        <f>'[3]Aer Lingus'!$IO$53</f>
        <v>0</v>
      </c>
      <c r="E34" s="95">
        <f>'[3]Denver Air'!$IO$53</f>
        <v>0</v>
      </c>
      <c r="F34" s="95">
        <f>[3]WestJet!$IO$53</f>
        <v>0</v>
      </c>
      <c r="G34" s="95">
        <f>[3]Icelandair!$IO$53</f>
        <v>0</v>
      </c>
      <c r="H34" s="95">
        <f>[3]Southwest!$IO$53</f>
        <v>0</v>
      </c>
      <c r="I34" s="95">
        <f>'[3]Sun Country'!$IO$53</f>
        <v>0</v>
      </c>
      <c r="J34" s="95">
        <f>[3]Alaska!$IO$53</f>
        <v>606</v>
      </c>
      <c r="K34" s="134">
        <f>SUM(B34:J34)</f>
        <v>606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51493</v>
      </c>
      <c r="I35" s="119">
        <f t="shared" si="18"/>
        <v>0</v>
      </c>
      <c r="J35" s="119">
        <f t="shared" si="18"/>
        <v>10351</v>
      </c>
      <c r="K35" s="135">
        <f>SUM(B35:J35)</f>
        <v>61844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[3]Frontier!$IO$57</f>
        <v>0</v>
      </c>
      <c r="C38" s="125">
        <f>'[3]Allegiant '!$IO$57</f>
        <v>0</v>
      </c>
      <c r="D38" s="359">
        <f>'[3]Aer Lingus'!$IO$57</f>
        <v>0</v>
      </c>
      <c r="E38" s="125">
        <f>'[3]Denver Air'!$IO$57</f>
        <v>0</v>
      </c>
      <c r="F38" s="125">
        <f>[3]WestJet!$IO$57</f>
        <v>0</v>
      </c>
      <c r="G38" s="125">
        <f>[3]Icelandair!$IO$57</f>
        <v>0</v>
      </c>
      <c r="H38" s="125">
        <f>[3]Southwest!$IO$57</f>
        <v>0</v>
      </c>
      <c r="I38" s="125">
        <f>'[3]Sun Country'!$IO$57</f>
        <v>0</v>
      </c>
      <c r="J38" s="125">
        <f>[3]Alaska!$IO$57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[3]Frontier!$IO$58</f>
        <v>0</v>
      </c>
      <c r="C39" s="128">
        <f>'[3]Allegiant '!$IO$58</f>
        <v>0</v>
      </c>
      <c r="D39" s="128">
        <f>'[3]Aer Lingus'!$IO$58</f>
        <v>0</v>
      </c>
      <c r="E39" s="128">
        <f>'[3]Denver Air'!$IO$58</f>
        <v>0</v>
      </c>
      <c r="F39" s="128">
        <f>[3]WestJet!$IO$58</f>
        <v>0</v>
      </c>
      <c r="G39" s="128">
        <f>[3]Icelandair!$IO$58</f>
        <v>0</v>
      </c>
      <c r="H39" s="128">
        <f>[3]Southwest!$IO$58</f>
        <v>0</v>
      </c>
      <c r="I39" s="128">
        <f>'[3]Sun Country'!$IO$58</f>
        <v>0</v>
      </c>
      <c r="J39" s="128">
        <f>[3]Alaska!$IO$58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1708</v>
      </c>
      <c r="H43" s="125">
        <f t="shared" si="24"/>
        <v>246633</v>
      </c>
      <c r="I43" s="125">
        <f t="shared" si="24"/>
        <v>0</v>
      </c>
      <c r="J43" s="125">
        <f t="shared" si="24"/>
        <v>35510</v>
      </c>
      <c r="K43" s="118">
        <f>SUM(B43:J43)</f>
        <v>283851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0</v>
      </c>
      <c r="J44" s="128">
        <f t="shared" si="27"/>
        <v>606</v>
      </c>
      <c r="K44" s="118">
        <f>SUM(B44:J44)</f>
        <v>606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1708</v>
      </c>
      <c r="H45" s="137">
        <f t="shared" si="30"/>
        <v>246633</v>
      </c>
      <c r="I45" s="137">
        <f t="shared" si="30"/>
        <v>0</v>
      </c>
      <c r="J45" s="137">
        <f t="shared" si="30"/>
        <v>36116</v>
      </c>
      <c r="K45" s="138">
        <f>SUM(B45:J45)</f>
        <v>284457</v>
      </c>
    </row>
    <row r="48" spans="1:11" x14ac:dyDescent="0.2">
      <c r="A48" s="276" t="s">
        <v>120</v>
      </c>
      <c r="B48" s="287"/>
      <c r="C48" s="287"/>
      <c r="D48" s="287"/>
      <c r="E48" s="287"/>
      <c r="F48" s="287"/>
      <c r="H48" s="242">
        <f>[3]Southwest!$IO$70+[3]Southwest!$IO$73</f>
        <v>86004</v>
      </c>
      <c r="I48" s="242">
        <f>'[3]Sun Country'!$IO$70+'[3]Sun Country'!$IO$73</f>
        <v>154026</v>
      </c>
      <c r="J48" s="287"/>
      <c r="K48" s="231">
        <f>SUM(B48:J48)</f>
        <v>240030</v>
      </c>
    </row>
    <row r="49" spans="1:11" x14ac:dyDescent="0.2">
      <c r="A49" s="289" t="s">
        <v>121</v>
      </c>
      <c r="B49" s="287"/>
      <c r="C49" s="287"/>
      <c r="D49" s="287"/>
      <c r="E49" s="287"/>
      <c r="F49" s="287"/>
      <c r="H49" s="242">
        <f>[3]Southwest!$IO$71+[3]Southwest!$IO$74</f>
        <v>470</v>
      </c>
      <c r="I49" s="242">
        <f>'[3]Sun Country'!$IO$71+'[3]Sun Country'!$IO$74</f>
        <v>0</v>
      </c>
      <c r="J49" s="287"/>
      <c r="K49" s="231">
        <f>SUM(B49:J49)</f>
        <v>470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October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E4" sqref="E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45200</v>
      </c>
      <c r="B2" s="404" t="s">
        <v>155</v>
      </c>
      <c r="C2" s="404" t="s">
        <v>158</v>
      </c>
      <c r="D2" s="404" t="s">
        <v>166</v>
      </c>
      <c r="E2" s="404" t="s">
        <v>165</v>
      </c>
      <c r="F2" s="404" t="s">
        <v>167</v>
      </c>
      <c r="G2" s="404" t="s">
        <v>191</v>
      </c>
      <c r="H2" s="404" t="s">
        <v>171</v>
      </c>
      <c r="I2" s="404" t="s">
        <v>175</v>
      </c>
      <c r="J2" s="404" t="s">
        <v>189</v>
      </c>
      <c r="K2" s="404" t="s">
        <v>170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[3]Pinnacle!$IO$22+[3]Pinnacle!$IO$32</f>
        <v>12877</v>
      </c>
      <c r="C5" s="87">
        <f>[3]MESA_UA!$IO$22</f>
        <v>4237</v>
      </c>
      <c r="D5" s="95">
        <f>'[3]Sky West'!$IO$22+'[3]Sky West'!$IO$32</f>
        <v>97018</v>
      </c>
      <c r="E5" s="95">
        <f>'[3]Sky West_UA'!$IO$22</f>
        <v>197</v>
      </c>
      <c r="F5" s="95">
        <f>'[3]Sky West_AS'!$IO$22</f>
        <v>0</v>
      </c>
      <c r="G5" s="95">
        <f>'[3]Sky West_AA'!$IO$22</f>
        <v>0</v>
      </c>
      <c r="H5" s="95">
        <f>[3]Republic!$IO$22</f>
        <v>3490</v>
      </c>
      <c r="I5" s="95">
        <f>[3]Republic_UA!$IO$22</f>
        <v>634</v>
      </c>
      <c r="J5" s="95">
        <f>'[3]Sky Regional'!$IO$32</f>
        <v>0</v>
      </c>
      <c r="K5" s="95">
        <f>'[3]American Eagle'!$IO$22</f>
        <v>1872</v>
      </c>
      <c r="L5" s="95">
        <f>'Other Regional'!L5</f>
        <v>14934</v>
      </c>
      <c r="M5" s="88">
        <f>SUM(B5:L5)</f>
        <v>135259</v>
      </c>
    </row>
    <row r="6" spans="1:16" s="6" customFormat="1" x14ac:dyDescent="0.2">
      <c r="A6" s="45" t="s">
        <v>31</v>
      </c>
      <c r="B6" s="87">
        <f>[3]Pinnacle!$IO$23+[3]Pinnacle!$IO$33</f>
        <v>43595</v>
      </c>
      <c r="C6" s="87">
        <f>[3]MESA_UA!$IO$23</f>
        <v>4215</v>
      </c>
      <c r="D6" s="95">
        <f>'[3]Sky West'!$IO$23+'[3]Sky West'!$IO$33</f>
        <v>95671</v>
      </c>
      <c r="E6" s="95">
        <f>'[3]Sky West_UA'!$IO$23</f>
        <v>225</v>
      </c>
      <c r="F6" s="95">
        <f>'[3]Sky West_AS'!$IO$23</f>
        <v>0</v>
      </c>
      <c r="G6" s="95">
        <f>'[3]Sky West_AA'!$IO$23</f>
        <v>0</v>
      </c>
      <c r="H6" s="95">
        <f>[3]Republic!$IO$23</f>
        <v>4042</v>
      </c>
      <c r="I6" s="95">
        <f>[3]Republic_UA!$IO$23</f>
        <v>517</v>
      </c>
      <c r="J6" s="95">
        <f>'[3]Sky Regional'!$IO$33</f>
        <v>0</v>
      </c>
      <c r="K6" s="95">
        <f>'[3]American Eagle'!$IO$23</f>
        <v>1947</v>
      </c>
      <c r="L6" s="95">
        <f>'Other Regional'!L6</f>
        <v>13634</v>
      </c>
      <c r="M6" s="92">
        <f>SUM(B6:L6)</f>
        <v>163846</v>
      </c>
    </row>
    <row r="7" spans="1:16" ht="15" thickBot="1" x14ac:dyDescent="0.25">
      <c r="A7" s="54" t="s">
        <v>7</v>
      </c>
      <c r="B7" s="105">
        <f>SUM(B5:B6)</f>
        <v>56472</v>
      </c>
      <c r="C7" s="105">
        <f t="shared" ref="C7:L7" si="0">SUM(C5:C6)</f>
        <v>8452</v>
      </c>
      <c r="D7" s="105">
        <f t="shared" si="0"/>
        <v>192689</v>
      </c>
      <c r="E7" s="105">
        <f t="shared" si="0"/>
        <v>422</v>
      </c>
      <c r="F7" s="105">
        <f t="shared" ref="F7:G7" si="1">SUM(F5:F6)</f>
        <v>0</v>
      </c>
      <c r="G7" s="105">
        <f t="shared" si="1"/>
        <v>0</v>
      </c>
      <c r="H7" s="105">
        <f t="shared" si="0"/>
        <v>7532</v>
      </c>
      <c r="I7" s="105">
        <f t="shared" si="0"/>
        <v>1151</v>
      </c>
      <c r="J7" s="105">
        <f t="shared" si="0"/>
        <v>0</v>
      </c>
      <c r="K7" s="105">
        <f t="shared" si="0"/>
        <v>3819</v>
      </c>
      <c r="L7" s="105">
        <f t="shared" si="0"/>
        <v>28568</v>
      </c>
      <c r="M7" s="106">
        <f>SUM(B7:L7)</f>
        <v>299105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[3]Pinnacle!$IO$27+[3]Pinnacle!$IO$37</f>
        <v>1260</v>
      </c>
      <c r="C10" s="87">
        <f>[3]MESA_UA!$IO$27</f>
        <v>119</v>
      </c>
      <c r="D10" s="95">
        <f>'[3]Sky West'!$IO$27+'[3]Sky West'!$IO$37</f>
        <v>3024</v>
      </c>
      <c r="E10" s="95">
        <f>'[3]Sky West_UA'!$IO$27</f>
        <v>9</v>
      </c>
      <c r="F10" s="95">
        <f>'[3]Sky West_AS'!$IO$27</f>
        <v>0</v>
      </c>
      <c r="G10" s="95">
        <f>'[3]Sky West_AA'!$IO$27</f>
        <v>0</v>
      </c>
      <c r="H10" s="95">
        <f>[3]Republic!$IO$27</f>
        <v>101</v>
      </c>
      <c r="I10" s="95">
        <f>[3]Republic_UA!$IO$27</f>
        <v>40</v>
      </c>
      <c r="J10" s="95">
        <f>'[3]Sky Regional'!$IO$37</f>
        <v>0</v>
      </c>
      <c r="K10" s="95">
        <f>'[3]American Eagle'!$IO$27</f>
        <v>36</v>
      </c>
      <c r="L10" s="95">
        <f>'Other Regional'!L10</f>
        <v>294</v>
      </c>
      <c r="M10" s="88">
        <f>SUM(B10:L10)</f>
        <v>4883</v>
      </c>
    </row>
    <row r="11" spans="1:16" x14ac:dyDescent="0.2">
      <c r="A11" s="45" t="s">
        <v>33</v>
      </c>
      <c r="B11" s="87">
        <f>[3]Pinnacle!$IO$28+[3]Pinnacle!$IO$38</f>
        <v>1249</v>
      </c>
      <c r="C11" s="87">
        <f>[3]MESA_UA!$IO$28</f>
        <v>162</v>
      </c>
      <c r="D11" s="95">
        <f>'[3]Sky West'!$IO$28+'[3]Sky West'!$IO$38</f>
        <v>3019</v>
      </c>
      <c r="E11" s="95">
        <f>'[3]Sky West_UA'!$IO$28</f>
        <v>3</v>
      </c>
      <c r="F11" s="95">
        <f>'[3]Sky West_AS'!$IO$28</f>
        <v>0</v>
      </c>
      <c r="G11" s="95">
        <f>'[3]Sky West_AA'!$IO$28</f>
        <v>0</v>
      </c>
      <c r="H11" s="95">
        <f>[3]Republic!$IO$28</f>
        <v>97</v>
      </c>
      <c r="I11" s="95">
        <f>[3]Republic_UA!$IO$28</f>
        <v>32</v>
      </c>
      <c r="J11" s="95">
        <f>'[3]Sky Regional'!$IO$38</f>
        <v>0</v>
      </c>
      <c r="K11" s="95">
        <f>'[3]American Eagle'!$IO$28</f>
        <v>26</v>
      </c>
      <c r="L11" s="95">
        <f>'Other Regional'!L11</f>
        <v>318</v>
      </c>
      <c r="M11" s="92">
        <f>SUM(B11:L11)</f>
        <v>4906</v>
      </c>
    </row>
    <row r="12" spans="1:16" ht="15" thickBot="1" x14ac:dyDescent="0.25">
      <c r="A12" s="55" t="s">
        <v>34</v>
      </c>
      <c r="B12" s="108">
        <f t="shared" ref="B12:L12" si="2">SUM(B10:B11)</f>
        <v>2509</v>
      </c>
      <c r="C12" s="108">
        <f t="shared" si="2"/>
        <v>281</v>
      </c>
      <c r="D12" s="108">
        <f t="shared" si="2"/>
        <v>6043</v>
      </c>
      <c r="E12" s="108">
        <f t="shared" si="2"/>
        <v>12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198</v>
      </c>
      <c r="I12" s="108">
        <f t="shared" si="2"/>
        <v>72</v>
      </c>
      <c r="J12" s="108">
        <f t="shared" si="2"/>
        <v>0</v>
      </c>
      <c r="K12" s="108">
        <f t="shared" si="2"/>
        <v>62</v>
      </c>
      <c r="L12" s="108">
        <f t="shared" si="2"/>
        <v>612</v>
      </c>
      <c r="M12" s="109">
        <f>SUM(B12:L12)</f>
        <v>9789</v>
      </c>
    </row>
    <row r="13" spans="1:16" ht="13.5" thickBot="1" x14ac:dyDescent="0.25">
      <c r="B13" s="95"/>
    </row>
    <row r="14" spans="1:16" ht="15.75" thickTop="1" x14ac:dyDescent="0.25">
      <c r="A14" s="44" t="s">
        <v>9</v>
      </c>
      <c r="B14" s="437" t="s">
        <v>248</v>
      </c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[3]Pinnacle!$IO$4+[3]Pinnacle!$IO$15</f>
        <v>673</v>
      </c>
      <c r="C15" s="86">
        <f>[3]MESA_UA!$IO$4</f>
        <v>65</v>
      </c>
      <c r="D15" s="85">
        <f>'[3]Sky West'!$IO$4+'[3]Sky West'!$IO$15</f>
        <v>2039</v>
      </c>
      <c r="E15" s="85">
        <f>'[3]Sky West_UA'!$IO$4</f>
        <v>3</v>
      </c>
      <c r="F15" s="85">
        <f>'[3]Sky West_AS'!$IO$4</f>
        <v>0</v>
      </c>
      <c r="G15" s="85">
        <f>'[3]Sky West_AA'!$IO$4</f>
        <v>0</v>
      </c>
      <c r="H15" s="87">
        <f>[3]Republic!$IO$4</f>
        <v>60</v>
      </c>
      <c r="I15" s="333">
        <f>[3]Republic_UA!$IO$4</f>
        <v>11</v>
      </c>
      <c r="J15" s="333">
        <f>'[3]Sky Regional'!$IO$15</f>
        <v>0</v>
      </c>
      <c r="K15" s="87">
        <f>'[3]American Eagle'!$IO$4</f>
        <v>27</v>
      </c>
      <c r="L15" s="86">
        <f>'Other Regional'!L15</f>
        <v>257</v>
      </c>
      <c r="M15" s="88">
        <f t="shared" ref="M15:M20" si="5">SUM(B15:L15)</f>
        <v>3135</v>
      </c>
    </row>
    <row r="16" spans="1:16" x14ac:dyDescent="0.2">
      <c r="A16" s="45" t="s">
        <v>54</v>
      </c>
      <c r="B16" s="7">
        <f>[3]Pinnacle!$IO$5+[3]Pinnacle!$IO$16</f>
        <v>676</v>
      </c>
      <c r="C16" s="90">
        <f>[3]MESA_UA!$IO$5</f>
        <v>65</v>
      </c>
      <c r="D16" s="89">
        <f>'[3]Sky West'!$IO$5+'[3]Sky West'!$IO$16</f>
        <v>2036</v>
      </c>
      <c r="E16" s="89">
        <f>'[3]Sky West_UA'!$IO$5</f>
        <v>3</v>
      </c>
      <c r="F16" s="89">
        <f>'[3]Sky West_AS'!$IO$5</f>
        <v>0</v>
      </c>
      <c r="G16" s="89">
        <f>'[3]Sky West_AA'!$IO$5</f>
        <v>0</v>
      </c>
      <c r="H16" s="91">
        <f>[3]Republic!$IO$5</f>
        <v>60</v>
      </c>
      <c r="I16" s="218">
        <f>[3]Republic_UA!$IO$5</f>
        <v>10</v>
      </c>
      <c r="J16" s="218">
        <f>'[3]Sky Regional'!$IO$16</f>
        <v>0</v>
      </c>
      <c r="K16" s="91">
        <f>'[3]American Eagle'!$IO$5</f>
        <v>27</v>
      </c>
      <c r="L16" s="90">
        <f>'Other Regional'!L16</f>
        <v>257</v>
      </c>
      <c r="M16" s="92">
        <f t="shared" si="5"/>
        <v>3134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1349</v>
      </c>
      <c r="C17" s="93">
        <f t="shared" si="6"/>
        <v>130</v>
      </c>
      <c r="D17" s="93">
        <f t="shared" si="6"/>
        <v>4075</v>
      </c>
      <c r="E17" s="93">
        <f t="shared" si="6"/>
        <v>6</v>
      </c>
      <c r="F17" s="93">
        <f t="shared" ref="F17:G17" si="7">SUM(F15:F16)</f>
        <v>0</v>
      </c>
      <c r="G17" s="93">
        <f t="shared" si="7"/>
        <v>0</v>
      </c>
      <c r="H17" s="93">
        <f>SUM(H15:H16)</f>
        <v>120</v>
      </c>
      <c r="I17" s="93">
        <f t="shared" ref="I17:J17" si="8">SUM(I15:I16)</f>
        <v>21</v>
      </c>
      <c r="J17" s="93">
        <f t="shared" si="8"/>
        <v>0</v>
      </c>
      <c r="K17" s="93">
        <f>SUM(K15:K16)</f>
        <v>54</v>
      </c>
      <c r="L17" s="93">
        <f>SUM(L15:L16)</f>
        <v>514</v>
      </c>
      <c r="M17" s="94">
        <f t="shared" si="5"/>
        <v>6269</v>
      </c>
    </row>
    <row r="18" spans="1:13" x14ac:dyDescent="0.2">
      <c r="A18" s="45" t="s">
        <v>56</v>
      </c>
      <c r="B18" s="95">
        <f>[3]Pinnacle!$IO$8</f>
        <v>0</v>
      </c>
      <c r="C18" s="87">
        <f>[3]MESA_UA!$IO$8</f>
        <v>0</v>
      </c>
      <c r="D18" s="95">
        <f>'[3]Sky West'!$IO$8</f>
        <v>0</v>
      </c>
      <c r="E18" s="95">
        <f>'[3]Sky West_UA'!$IO$8</f>
        <v>0</v>
      </c>
      <c r="F18" s="95">
        <f>'[3]Sky West_AS'!$IO$8</f>
        <v>0</v>
      </c>
      <c r="G18" s="95">
        <f>'[3]Sky West_AA'!$IO$8</f>
        <v>0</v>
      </c>
      <c r="H18" s="95">
        <f>[3]Republic!$IO$8</f>
        <v>0</v>
      </c>
      <c r="I18" s="95">
        <f>[3]Republic_UA!$IO$8</f>
        <v>0</v>
      </c>
      <c r="J18" s="95">
        <f>'[3]Sky Regional'!$IO$8</f>
        <v>0</v>
      </c>
      <c r="K18" s="95">
        <f>'[3]American Eagle'!$IO$8</f>
        <v>0</v>
      </c>
      <c r="L18" s="95">
        <f>'Other Regional'!L18</f>
        <v>0</v>
      </c>
      <c r="M18" s="88">
        <f t="shared" si="5"/>
        <v>0</v>
      </c>
    </row>
    <row r="19" spans="1:13" x14ac:dyDescent="0.2">
      <c r="A19" s="45" t="s">
        <v>57</v>
      </c>
      <c r="B19" s="96">
        <f>[3]Pinnacle!$IO$9</f>
        <v>1</v>
      </c>
      <c r="C19" s="91">
        <f>[3]MESA_UA!$IO$9</f>
        <v>0</v>
      </c>
      <c r="D19" s="96">
        <f>'[3]Sky West'!$IO$9</f>
        <v>1</v>
      </c>
      <c r="E19" s="96">
        <f>'[3]Sky West_UA'!$IO$9</f>
        <v>0</v>
      </c>
      <c r="F19" s="96">
        <f>'[3]Sky West_AS'!$IO$9</f>
        <v>0</v>
      </c>
      <c r="G19" s="96">
        <f>'[3]Sky West_AA'!$IO$9</f>
        <v>0</v>
      </c>
      <c r="H19" s="96">
        <f>[3]Republic!$IO$9</f>
        <v>0</v>
      </c>
      <c r="I19" s="96">
        <f>[3]Republic_UA!$IO$9</f>
        <v>0</v>
      </c>
      <c r="J19" s="96">
        <f>'[3]Sky Regional'!$IO$9</f>
        <v>0</v>
      </c>
      <c r="K19" s="96">
        <f>'[3]American Eagle'!$IO$9</f>
        <v>0</v>
      </c>
      <c r="L19" s="96">
        <f>'Other Regional'!L19</f>
        <v>0</v>
      </c>
      <c r="M19" s="92">
        <f t="shared" si="5"/>
        <v>2</v>
      </c>
    </row>
    <row r="20" spans="1:13" x14ac:dyDescent="0.2">
      <c r="A20" s="49" t="s">
        <v>58</v>
      </c>
      <c r="B20" s="93">
        <f t="shared" ref="B20:L20" si="9">SUM(B18:B19)</f>
        <v>1</v>
      </c>
      <c r="C20" s="93">
        <f t="shared" si="9"/>
        <v>0</v>
      </c>
      <c r="D20" s="93">
        <f t="shared" si="9"/>
        <v>1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2</v>
      </c>
    </row>
    <row r="21" spans="1:13" ht="15.75" thickBot="1" x14ac:dyDescent="0.3">
      <c r="A21" s="53" t="s">
        <v>28</v>
      </c>
      <c r="B21" s="97">
        <f>SUM(B20,B17)</f>
        <v>1350</v>
      </c>
      <c r="C21" s="97">
        <f t="shared" ref="C21:K21" si="11">SUM(C20,C17)</f>
        <v>130</v>
      </c>
      <c r="D21" s="97">
        <f t="shared" si="11"/>
        <v>4076</v>
      </c>
      <c r="E21" s="97">
        <f t="shared" si="11"/>
        <v>6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120</v>
      </c>
      <c r="I21" s="97">
        <f t="shared" si="11"/>
        <v>21</v>
      </c>
      <c r="J21" s="97">
        <f t="shared" si="11"/>
        <v>0</v>
      </c>
      <c r="K21" s="97">
        <f t="shared" si="11"/>
        <v>54</v>
      </c>
      <c r="L21" s="97">
        <f>SUM(L20,L17)</f>
        <v>514</v>
      </c>
      <c r="M21" s="98">
        <f>SUM(B21:L21)</f>
        <v>6271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[3]Pinnacle!$IO$47</f>
        <v>0</v>
      </c>
      <c r="C25" s="87">
        <f>[3]MESA_UA!$IO$47</f>
        <v>0</v>
      </c>
      <c r="D25" s="95">
        <f>'[3]Sky West'!$IO$47</f>
        <v>0</v>
      </c>
      <c r="E25" s="95">
        <f>'[3]Sky West_UA'!$IO$47</f>
        <v>0</v>
      </c>
      <c r="F25" s="95">
        <f>'[3]Sky West_AS'!$IO$47</f>
        <v>0</v>
      </c>
      <c r="G25" s="95">
        <f>'[3]Sky West_AA'!$IO$47</f>
        <v>0</v>
      </c>
      <c r="H25" s="95">
        <f>[3]Republic!$IO$47</f>
        <v>2028</v>
      </c>
      <c r="I25" s="95">
        <f>[3]Republic_UA!$IO$47</f>
        <v>0</v>
      </c>
      <c r="J25" s="95">
        <f>'[3]Sky Regional'!$IO$47</f>
        <v>0</v>
      </c>
      <c r="K25" s="95">
        <f>'[3]American Eagle'!$IO$47</f>
        <v>0</v>
      </c>
      <c r="L25" s="95">
        <f>'Other Regional'!L25</f>
        <v>28543.599999999999</v>
      </c>
      <c r="M25" s="88">
        <f>SUM(B25:L25)</f>
        <v>30571.599999999999</v>
      </c>
    </row>
    <row r="26" spans="1:13" x14ac:dyDescent="0.2">
      <c r="A26" s="45" t="s">
        <v>38</v>
      </c>
      <c r="B26" s="95">
        <f>[3]Pinnacle!$IO$48</f>
        <v>0</v>
      </c>
      <c r="C26" s="87">
        <f>[3]MESA_UA!$IO$48</f>
        <v>0</v>
      </c>
      <c r="D26" s="95">
        <f>'[3]Sky West'!$IO$48</f>
        <v>0</v>
      </c>
      <c r="E26" s="95">
        <f>'[3]Sky West_UA'!$IO$48</f>
        <v>0</v>
      </c>
      <c r="F26" s="95">
        <f>'[3]Sky West_AS'!$IO$48</f>
        <v>0</v>
      </c>
      <c r="G26" s="95">
        <f>'[3]Sky West_AA'!$IO$48</f>
        <v>0</v>
      </c>
      <c r="H26" s="95">
        <f>[3]Republic!$IO$48</f>
        <v>0</v>
      </c>
      <c r="I26" s="95">
        <f>[3]Republic_UA!$IO$48</f>
        <v>0</v>
      </c>
      <c r="J26" s="95">
        <f>'[3]Sky Regional'!$IO$48</f>
        <v>0</v>
      </c>
      <c r="K26" s="95">
        <f>'[3]American Eagle'!$IO$48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2028</v>
      </c>
      <c r="I27" s="105">
        <f t="shared" si="13"/>
        <v>0</v>
      </c>
      <c r="J27" s="105">
        <f t="shared" si="13"/>
        <v>0</v>
      </c>
      <c r="K27" s="105">
        <f t="shared" si="13"/>
        <v>0</v>
      </c>
      <c r="L27" s="105">
        <f t="shared" si="13"/>
        <v>28543.599999999999</v>
      </c>
      <c r="M27" s="106">
        <f>SUM(B27:L27)</f>
        <v>30571.599999999999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[3]Pinnacle!$IO$52</f>
        <v>0</v>
      </c>
      <c r="C30" s="87">
        <f>[3]MESA_UA!$IO$52</f>
        <v>0</v>
      </c>
      <c r="D30" s="95">
        <f>'[3]Sky West'!$IO$52</f>
        <v>0</v>
      </c>
      <c r="E30" s="95">
        <f>'[3]Sky West_UA'!$IO$52</f>
        <v>0</v>
      </c>
      <c r="F30" s="95">
        <f>'[3]Sky West_AS'!$IO$52</f>
        <v>0</v>
      </c>
      <c r="G30" s="95">
        <f>'[3]Sky West_AA'!$IO$52</f>
        <v>0</v>
      </c>
      <c r="H30" s="95">
        <f>[3]Republic!$IO$52</f>
        <v>0</v>
      </c>
      <c r="I30" s="95">
        <f>[3]Republic_UA!$IO$52</f>
        <v>0</v>
      </c>
      <c r="J30" s="95">
        <f>'[3]Sky Regional'!$IO$52</f>
        <v>0</v>
      </c>
      <c r="K30" s="95">
        <f>'[3]American Eagle'!$IO$52</f>
        <v>0</v>
      </c>
      <c r="L30" s="95">
        <f>'Other Regional'!L30</f>
        <v>2653.9</v>
      </c>
      <c r="M30" s="88">
        <f t="shared" ref="M30:M37" si="15">SUM(B30:L30)</f>
        <v>2653.9</v>
      </c>
    </row>
    <row r="31" spans="1:13" x14ac:dyDescent="0.2">
      <c r="A31" s="45" t="s">
        <v>60</v>
      </c>
      <c r="B31" s="95">
        <f>[3]Pinnacle!$IO$53</f>
        <v>0</v>
      </c>
      <c r="C31" s="87">
        <f>[3]MESA_UA!$IO$53</f>
        <v>0</v>
      </c>
      <c r="D31" s="95">
        <f>'[3]Sky West'!$IO$53</f>
        <v>0</v>
      </c>
      <c r="E31" s="95">
        <f>'[3]Sky West_UA'!$IO$53</f>
        <v>0</v>
      </c>
      <c r="F31" s="95">
        <f>'[3]Sky West_AS'!$IO$53</f>
        <v>0</v>
      </c>
      <c r="G31" s="95">
        <f>'[3]Sky West_AA'!$IO$53</f>
        <v>0</v>
      </c>
      <c r="H31" s="95">
        <f>[3]Republic!$IO$53</f>
        <v>0</v>
      </c>
      <c r="I31" s="95">
        <f>[3]Republic_UA!$IO$53</f>
        <v>0</v>
      </c>
      <c r="J31" s="95">
        <f>'[3]Sky Regional'!$IO$53</f>
        <v>0</v>
      </c>
      <c r="K31" s="95">
        <f>'[3]American Eagle'!$IO$53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2653.9</v>
      </c>
      <c r="M32" s="106">
        <f t="shared" si="15"/>
        <v>2653.9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[3]Pinnacle!$IO$57</f>
        <v>0</v>
      </c>
      <c r="C35" s="87">
        <f>[3]MESA_UA!$IO$57</f>
        <v>0</v>
      </c>
      <c r="D35" s="95">
        <f>'[3]Sky West'!$IO$57</f>
        <v>0</v>
      </c>
      <c r="E35" s="95">
        <f>'[3]Sky West_UA'!$IO$57</f>
        <v>0</v>
      </c>
      <c r="F35" s="95">
        <f>'[3]Sky West_AS'!$IO$57</f>
        <v>0</v>
      </c>
      <c r="G35" s="95">
        <f>'[3]Sky West_AA'!$IO$57</f>
        <v>0</v>
      </c>
      <c r="H35" s="95">
        <f>[3]Republic!$IO$57</f>
        <v>0</v>
      </c>
      <c r="I35" s="95">
        <f>[3]Republic!$IO$57</f>
        <v>0</v>
      </c>
      <c r="J35" s="95">
        <f>[3]Republic!$IO$57</f>
        <v>0</v>
      </c>
      <c r="K35" s="95">
        <f>'[3]American Eagle'!$IO$57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[3]Pinnacle!$IO$58</f>
        <v>0</v>
      </c>
      <c r="C36" s="87">
        <f>[3]MESA_UA!$IO$58</f>
        <v>0</v>
      </c>
      <c r="D36" s="95">
        <f>'[3]Sky West'!$IO$58</f>
        <v>0</v>
      </c>
      <c r="E36" s="95">
        <f>'[3]Sky West_UA'!$IO$58</f>
        <v>0</v>
      </c>
      <c r="F36" s="95">
        <f>'[3]Sky West_AS'!$IO$58</f>
        <v>0</v>
      </c>
      <c r="G36" s="95">
        <f>'[3]Sky West_AA'!$IO$58</f>
        <v>0</v>
      </c>
      <c r="H36" s="95">
        <f>[3]Republic!$IO$58</f>
        <v>0</v>
      </c>
      <c r="I36" s="95">
        <f>[3]Republic!$IO$58</f>
        <v>0</v>
      </c>
      <c r="J36" s="95">
        <f>[3]Republic!$IO$58</f>
        <v>0</v>
      </c>
      <c r="K36" s="95">
        <f>'[3]American Eagle'!$IO$58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2028</v>
      </c>
      <c r="I40" s="95">
        <f t="shared" si="20"/>
        <v>0</v>
      </c>
      <c r="J40" s="95">
        <f t="shared" si="20"/>
        <v>0</v>
      </c>
      <c r="K40" s="95">
        <f>SUM(K35,K30,K25)</f>
        <v>0</v>
      </c>
      <c r="L40" s="95">
        <f>L35+L30+L25</f>
        <v>31197.5</v>
      </c>
      <c r="M40" s="88">
        <f>SUM(B40:L40)</f>
        <v>33225.5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2028</v>
      </c>
      <c r="I42" s="108">
        <f t="shared" si="20"/>
        <v>0</v>
      </c>
      <c r="J42" s="108">
        <f t="shared" si="20"/>
        <v>0</v>
      </c>
      <c r="K42" s="108">
        <f>SUM(K37,K32,K27)</f>
        <v>0</v>
      </c>
      <c r="L42" s="108">
        <f>SUM(L37,L32,L27)</f>
        <v>31197.5</v>
      </c>
      <c r="M42" s="109">
        <f>SUM(B42:L42)</f>
        <v>33225.5</v>
      </c>
    </row>
    <row r="44" spans="1:13" x14ac:dyDescent="0.2">
      <c r="A44" s="276" t="s">
        <v>120</v>
      </c>
      <c r="B44" s="241">
        <f>[3]Pinnacle!$IO$70+[3]Pinnacle!$IO$73</f>
        <v>15368</v>
      </c>
      <c r="D44" s="242">
        <f>'[3]Sky West'!$IO$70+'[3]Sky West'!$IO$73</f>
        <v>30369</v>
      </c>
      <c r="E44" s="2"/>
      <c r="F44" s="2"/>
      <c r="G44" s="2"/>
      <c r="L44" s="242">
        <f>+'Other Regional'!L46</f>
        <v>0</v>
      </c>
      <c r="M44" s="231">
        <f>SUM(B44:L44)</f>
        <v>45737</v>
      </c>
    </row>
    <row r="45" spans="1:13" x14ac:dyDescent="0.2">
      <c r="A45" s="289" t="s">
        <v>121</v>
      </c>
      <c r="B45" s="241">
        <f>[3]Pinnacle!$IO$71+[3]Pinnacle!$IO$74</f>
        <v>28227</v>
      </c>
      <c r="D45" s="242">
        <f>'[3]Sky West'!$IO$71+'[3]Sky West'!$IO$74</f>
        <v>65302</v>
      </c>
      <c r="E45" s="2"/>
      <c r="F45" s="2"/>
      <c r="G45" s="2"/>
      <c r="L45" s="242">
        <f>+'Other Regional'!L47</f>
        <v>0</v>
      </c>
      <c r="M45" s="231">
        <f>SUM(B45:L45)</f>
        <v>93529</v>
      </c>
    </row>
    <row r="46" spans="1:13" x14ac:dyDescent="0.2">
      <c r="A46" s="232" t="s">
        <v>122</v>
      </c>
      <c r="B46" s="233">
        <f>SUM(B44:B45)</f>
        <v>43595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October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D5" sqref="D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45200</v>
      </c>
      <c r="B2" s="405" t="s">
        <v>169</v>
      </c>
      <c r="C2" s="405" t="s">
        <v>168</v>
      </c>
      <c r="D2" s="405" t="s">
        <v>190</v>
      </c>
      <c r="E2" s="405" t="s">
        <v>249</v>
      </c>
      <c r="F2" s="405" t="s">
        <v>217</v>
      </c>
      <c r="G2" s="405" t="s">
        <v>176</v>
      </c>
      <c r="H2" s="405" t="s">
        <v>173</v>
      </c>
      <c r="I2" s="405" t="s">
        <v>172</v>
      </c>
      <c r="J2" s="405" t="s">
        <v>157</v>
      </c>
      <c r="K2" s="405" t="s">
        <v>160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America'!$IO$22</f>
        <v>0</v>
      </c>
      <c r="C5" s="87">
        <f>'[3]Shuttle America_Delta'!$IO$22</f>
        <v>0</v>
      </c>
      <c r="D5" s="333">
        <f>[3]Horizon_AS!$IO$22+[3]Horizon_AS!$IO$32</f>
        <v>0</v>
      </c>
      <c r="E5" s="333">
        <f>'[3]Air Wisconsin'!$IO$22</f>
        <v>3260</v>
      </c>
      <c r="F5" s="333">
        <f>[3]Jazz_AC!$IO$22+[3]Jazz_AC!$IO$32</f>
        <v>7472</v>
      </c>
      <c r="G5" s="333">
        <f>[3]PSA!$IO$22</f>
        <v>4202</v>
      </c>
      <c r="H5" s="87">
        <f>'[3]Atlantic Southeast'!$IO$22+'[3]Atlantic Southeast'!$IO$32</f>
        <v>0</v>
      </c>
      <c r="I5" s="87">
        <f>'[3]Continental Express'!$IO$22</f>
        <v>0</v>
      </c>
      <c r="J5" s="95">
        <f>'[3]Go Jet_UA'!$IO$22</f>
        <v>0</v>
      </c>
      <c r="K5" s="12">
        <f>'[3]Go Jet'!$IO$22+'[3]Go Jet'!$IO$32</f>
        <v>0</v>
      </c>
      <c r="L5" s="88">
        <f>SUM(B5:K5)</f>
        <v>14934</v>
      </c>
    </row>
    <row r="6" spans="1:12" s="6" customFormat="1" x14ac:dyDescent="0.2">
      <c r="A6" s="45" t="s">
        <v>31</v>
      </c>
      <c r="B6" s="87">
        <f>'[3]Shuttle America'!$IO$23</f>
        <v>0</v>
      </c>
      <c r="C6" s="87">
        <f>'[3]Shuttle America_Delta'!$IO$23</f>
        <v>0</v>
      </c>
      <c r="D6" s="333">
        <f>[3]Horizon_AS!$IO$23+[3]Horizon_AS!$IO$33</f>
        <v>0</v>
      </c>
      <c r="E6" s="333">
        <f>'[3]Air Wisconsin'!$IO$23</f>
        <v>3134</v>
      </c>
      <c r="F6" s="333">
        <f>[3]Jazz_AC!$IO$23+[3]Jazz_AC!$IO$33</f>
        <v>6307</v>
      </c>
      <c r="G6" s="333">
        <f>[3]PSA!$IO$23</f>
        <v>4193</v>
      </c>
      <c r="H6" s="87">
        <f>'[3]Atlantic Southeast'!$IO$23+'[3]Atlantic Southeast'!$IO$33</f>
        <v>0</v>
      </c>
      <c r="I6" s="87">
        <f>'[3]Continental Express'!$IO$23</f>
        <v>0</v>
      </c>
      <c r="J6" s="95">
        <f>'[3]Go Jet_UA'!$IO$23</f>
        <v>0</v>
      </c>
      <c r="K6" s="7">
        <f>'[3]Go Jet'!$IO$23+'[3]Go Jet'!$IO$33</f>
        <v>0</v>
      </c>
      <c r="L6" s="92">
        <f>SUM(B6:K6)</f>
        <v>13634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6394</v>
      </c>
      <c r="F7" s="105">
        <f t="shared" si="1"/>
        <v>13779</v>
      </c>
      <c r="G7" s="105">
        <f t="shared" si="0"/>
        <v>8395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28568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America'!$IO$27</f>
        <v>0</v>
      </c>
      <c r="C10" s="87">
        <f>'[3]Shuttle America_Delta'!$IO$27</f>
        <v>0</v>
      </c>
      <c r="D10" s="333">
        <f>[3]Horizon_AS!$IO$27+[3]Horizon_AS!$IO$37</f>
        <v>0</v>
      </c>
      <c r="E10" s="333">
        <f>'[3]Air Wisconsin'!$IO$27</f>
        <v>100</v>
      </c>
      <c r="F10" s="333">
        <f>[3]Jazz_AC!$IO$27+[3]Jazz_AC!$IO$37</f>
        <v>124</v>
      </c>
      <c r="G10" s="333">
        <f>[3]PSA!$IO$27</f>
        <v>70</v>
      </c>
      <c r="H10" s="12">
        <f>'[3]Atlantic Southeast'!$IO$27+'[3]Atlantic Southeast'!$IO$37</f>
        <v>0</v>
      </c>
      <c r="I10" s="87">
        <f>'[3]Continental Express'!$IO$27</f>
        <v>0</v>
      </c>
      <c r="J10" s="95">
        <f>'[3]Go Jet_UA'!$IO$27</f>
        <v>0</v>
      </c>
      <c r="K10" s="12">
        <f>'[3]Go Jet'!$IO$27+'[3]Go Jet'!$IO$37</f>
        <v>0</v>
      </c>
      <c r="L10" s="88">
        <f>SUM(B10:K10)</f>
        <v>294</v>
      </c>
    </row>
    <row r="11" spans="1:12" x14ac:dyDescent="0.2">
      <c r="A11" s="45" t="s">
        <v>33</v>
      </c>
      <c r="B11" s="87">
        <f>'[3]Shuttle America'!$IO$28</f>
        <v>0</v>
      </c>
      <c r="C11" s="87">
        <f>'[3]Shuttle America_Delta'!$IO$28</f>
        <v>0</v>
      </c>
      <c r="D11" s="333">
        <f>[3]Horizon_AS!$IO$28+[3]Horizon_AS!$IO$38</f>
        <v>0</v>
      </c>
      <c r="E11" s="333">
        <f>'[3]Air Wisconsin'!$IO$28</f>
        <v>94</v>
      </c>
      <c r="F11" s="333">
        <f>[3]Jazz_AC!$IO$28+[3]Jazz_AC!$IO$38</f>
        <v>139</v>
      </c>
      <c r="G11" s="333">
        <f>[3]PSA!$IO$28</f>
        <v>85</v>
      </c>
      <c r="H11" s="7">
        <f>'[3]Atlantic Southeast'!$IO$28+'[3]Atlantic Southeast'!$IO$38</f>
        <v>0</v>
      </c>
      <c r="I11" s="87">
        <f>'[3]Continental Express'!$IO$28</f>
        <v>0</v>
      </c>
      <c r="J11" s="95">
        <f>'[3]Go Jet_UA'!$IO$28</f>
        <v>0</v>
      </c>
      <c r="K11" s="7">
        <f>'[3]Go Jet'!$IO$28+'[3]Go Jet'!$IO$38</f>
        <v>0</v>
      </c>
      <c r="L11" s="92">
        <f>SUM(B11:K11)</f>
        <v>318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194</v>
      </c>
      <c r="F12" s="108">
        <f t="shared" si="3"/>
        <v>263</v>
      </c>
      <c r="G12" s="108">
        <f t="shared" si="2"/>
        <v>155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612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America'!$IO$4</f>
        <v>0</v>
      </c>
      <c r="C15" s="85">
        <f>'[3]Shuttle America_Delta'!$IO$4</f>
        <v>0</v>
      </c>
      <c r="D15" s="334">
        <f>[3]Horizon_AS!$IO$4</f>
        <v>0</v>
      </c>
      <c r="E15" s="334">
        <f>'[3]Air Wisconsin'!$IO$4</f>
        <v>70</v>
      </c>
      <c r="F15" s="334">
        <f>[3]Jazz_AC!$IO$4+[3]Jazz_AC!$IO$15</f>
        <v>125</v>
      </c>
      <c r="G15" s="334">
        <f>[3]PSA!$IO$4</f>
        <v>62</v>
      </c>
      <c r="H15" s="86">
        <f>'[3]Atlantic Southeast'!$IO$4+'[3]Atlantic Southeast'!$IO$15</f>
        <v>0</v>
      </c>
      <c r="I15" s="86">
        <f>'[3]Continental Express'!$IO$4</f>
        <v>0</v>
      </c>
      <c r="J15" s="85">
        <f>'[3]Go Jet_UA'!$IO$4</f>
        <v>0</v>
      </c>
      <c r="K15" s="12">
        <f>'[3]Go Jet'!$IO$4+'[3]Go Jet'!$IO$15</f>
        <v>0</v>
      </c>
      <c r="L15" s="88">
        <f t="shared" ref="L15:L20" si="6">SUM(B15:K15)</f>
        <v>257</v>
      </c>
    </row>
    <row r="16" spans="1:12" x14ac:dyDescent="0.2">
      <c r="A16" s="45" t="s">
        <v>54</v>
      </c>
      <c r="B16" s="89">
        <f>'[3]Shuttle America'!$IO$5</f>
        <v>0</v>
      </c>
      <c r="C16" s="89">
        <f>'[3]Shuttle America_Delta'!$IO$5</f>
        <v>0</v>
      </c>
      <c r="D16" s="335">
        <f>[3]Horizon_AS!$IO$5</f>
        <v>0</v>
      </c>
      <c r="E16" s="335">
        <f>'[3]Air Wisconsin'!$IO$5</f>
        <v>70</v>
      </c>
      <c r="F16" s="335">
        <f>[3]Jazz_AC!$IO$5+[3]Jazz_AC!$IO$16</f>
        <v>125</v>
      </c>
      <c r="G16" s="335">
        <f>[3]PSA!$IO$5</f>
        <v>62</v>
      </c>
      <c r="H16" s="90">
        <f>'[3]Atlantic Southeast'!$IO$5+'[3]Atlantic Southeast'!$IO$16</f>
        <v>0</v>
      </c>
      <c r="I16" s="90">
        <f>'[3]Continental Express'!$IO$5</f>
        <v>0</v>
      </c>
      <c r="J16" s="89">
        <f>'[3]Go Jet_UA'!$IO$5</f>
        <v>0</v>
      </c>
      <c r="K16" s="7">
        <f>'[3]Go Jet'!$IO$5+'[3]Go Jet'!$IO$16</f>
        <v>0</v>
      </c>
      <c r="L16" s="92">
        <f t="shared" si="6"/>
        <v>257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140</v>
      </c>
      <c r="F17" s="93">
        <f t="shared" si="8"/>
        <v>250</v>
      </c>
      <c r="G17" s="93">
        <f t="shared" si="7"/>
        <v>124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514</v>
      </c>
    </row>
    <row r="18" spans="1:15" x14ac:dyDescent="0.2">
      <c r="A18" s="45" t="s">
        <v>56</v>
      </c>
      <c r="B18" s="95">
        <f>'[3]Shuttle America'!$IO$8</f>
        <v>0</v>
      </c>
      <c r="C18" s="95">
        <f>'[3]Shuttle America_Delta'!$IO$8</f>
        <v>0</v>
      </c>
      <c r="D18" s="95">
        <f>[3]Horizon_AS!$IO$8</f>
        <v>0</v>
      </c>
      <c r="E18" s="95">
        <f>'[3]Air Wisconsin'!$IO$8</f>
        <v>0</v>
      </c>
      <c r="F18" s="95">
        <f>[3]Jazz_AC!$IO$8</f>
        <v>0</v>
      </c>
      <c r="G18" s="95">
        <f>[3]PSA!$IO$8</f>
        <v>0</v>
      </c>
      <c r="H18" s="87">
        <f>'[3]Atlantic Southeast'!$IO$8</f>
        <v>0</v>
      </c>
      <c r="I18" s="87">
        <f>'[3]Continental Express'!$IO$8</f>
        <v>0</v>
      </c>
      <c r="J18" s="95">
        <f>'[3]Go Jet_UA'!$IO$8</f>
        <v>0</v>
      </c>
      <c r="K18" s="12">
        <f>'[3]Go Jet'!$IO$8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America'!$IO$9</f>
        <v>0</v>
      </c>
      <c r="C19" s="96">
        <f>'[3]Shuttle America_Delta'!$IO$9</f>
        <v>0</v>
      </c>
      <c r="D19" s="96">
        <f>[3]Horizon_AS!$IO$9</f>
        <v>0</v>
      </c>
      <c r="E19" s="96">
        <f>'[3]Air Wisconsin'!$IO$9</f>
        <v>0</v>
      </c>
      <c r="F19" s="96">
        <f>[3]Jazz_AC!$IO$9</f>
        <v>0</v>
      </c>
      <c r="G19" s="96">
        <f>[3]PSA!$IO$9</f>
        <v>0</v>
      </c>
      <c r="H19" s="91">
        <f>'[3]Atlantic Southeast'!$IO$9</f>
        <v>0</v>
      </c>
      <c r="I19" s="91">
        <f>'[3]Continental Express'!$IO$9</f>
        <v>0</v>
      </c>
      <c r="J19" s="96">
        <f>'[3]Go Jet_UA'!$IO$9</f>
        <v>0</v>
      </c>
      <c r="K19" s="7">
        <f>'[3]Go Jet'!$IO$9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140</v>
      </c>
      <c r="F21" s="97">
        <f t="shared" si="14"/>
        <v>250</v>
      </c>
      <c r="G21" s="97">
        <f t="shared" si="13"/>
        <v>124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>SUM(B21:K21)</f>
        <v>514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America'!$IO$47</f>
        <v>0</v>
      </c>
      <c r="C25" s="95">
        <f>'[3]Shuttle America_Delta'!$IO$47</f>
        <v>0</v>
      </c>
      <c r="D25" s="95">
        <f>[3]Horizon_AS!$IO$47</f>
        <v>0</v>
      </c>
      <c r="E25" s="95">
        <f>'[3]Air Wisconsin'!$IO$47</f>
        <v>1743</v>
      </c>
      <c r="F25" s="95">
        <f>[3]Jazz_AC!$IO$47</f>
        <v>26606.6</v>
      </c>
      <c r="G25" s="95">
        <f>[3]PSA!$IO$47</f>
        <v>194</v>
      </c>
      <c r="H25" s="87">
        <f>'[3]Atlantic Southeast'!$IO$47</f>
        <v>0</v>
      </c>
      <c r="I25" s="87">
        <f>'[3]Continental Express'!$IO$47</f>
        <v>0</v>
      </c>
      <c r="J25" s="95">
        <f>'[3]Go Jet_UA'!$IO$47</f>
        <v>0</v>
      </c>
      <c r="K25" s="95">
        <f>'[3]Go Jet'!$IO$47</f>
        <v>0</v>
      </c>
      <c r="L25" s="88">
        <f>SUM(B25:K25)</f>
        <v>28543.599999999999</v>
      </c>
    </row>
    <row r="26" spans="1:15" x14ac:dyDescent="0.2">
      <c r="A26" s="45" t="s">
        <v>38</v>
      </c>
      <c r="B26" s="95">
        <f>'[3]Shuttle America'!$IO$48</f>
        <v>0</v>
      </c>
      <c r="C26" s="95">
        <f>'[3]Shuttle America_Delta'!$IO$48</f>
        <v>0</v>
      </c>
      <c r="D26" s="95">
        <f>[3]Horizon_AS!$IO$48</f>
        <v>0</v>
      </c>
      <c r="E26" s="95">
        <f>'[3]Air Wisconsin'!$IO$48</f>
        <v>0</v>
      </c>
      <c r="F26" s="95">
        <f>[3]Jazz_AC!$IO$48</f>
        <v>0</v>
      </c>
      <c r="G26" s="95">
        <f>[3]PSA!$IO$48</f>
        <v>0</v>
      </c>
      <c r="H26" s="87">
        <f>'[3]Atlantic Southeast'!$IO$48</f>
        <v>0</v>
      </c>
      <c r="I26" s="87">
        <f>'[3]Continental Express'!$IO$48</f>
        <v>0</v>
      </c>
      <c r="J26" s="95">
        <f>'[3]Go Jet_UA'!$IO$48</f>
        <v>0</v>
      </c>
      <c r="K26" s="95">
        <f>'[3]Go Jet'!$IO$48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1743</v>
      </c>
      <c r="F27" s="105">
        <f t="shared" si="18"/>
        <v>26606.6</v>
      </c>
      <c r="G27" s="105">
        <f t="shared" si="17"/>
        <v>194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28543.599999999999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America'!$IO$52</f>
        <v>0</v>
      </c>
      <c r="C30" s="95">
        <f>'[3]Shuttle America_Delta'!$IO$52</f>
        <v>0</v>
      </c>
      <c r="D30" s="95">
        <f>[3]Horizon_AS!$IO$52</f>
        <v>0</v>
      </c>
      <c r="E30" s="95">
        <f>'[3]Air Wisconsin'!$IO$52</f>
        <v>320</v>
      </c>
      <c r="F30" s="95">
        <f>[3]Jazz_AC!$IO$52</f>
        <v>2273.9</v>
      </c>
      <c r="G30" s="95">
        <f>[3]PSA!$IO$52</f>
        <v>60</v>
      </c>
      <c r="H30" s="87">
        <f>'[3]Atlantic Southeast'!$IO$52</f>
        <v>0</v>
      </c>
      <c r="I30" s="87">
        <f>'[3]Continental Express'!$IO$52</f>
        <v>0</v>
      </c>
      <c r="J30" s="95">
        <f>'[3]Go Jet_UA'!$IO$52</f>
        <v>0</v>
      </c>
      <c r="K30" s="95">
        <f>'[3]Go Jet'!$IO$52</f>
        <v>0</v>
      </c>
      <c r="L30" s="88">
        <f>SUM(B30:K30)</f>
        <v>2653.9</v>
      </c>
    </row>
    <row r="31" spans="1:15" x14ac:dyDescent="0.2">
      <c r="A31" s="45" t="s">
        <v>60</v>
      </c>
      <c r="B31" s="95">
        <f>'[3]Shuttle America'!$IO$53</f>
        <v>0</v>
      </c>
      <c r="C31" s="95">
        <f>'[3]Shuttle America_Delta'!$IO$53</f>
        <v>0</v>
      </c>
      <c r="D31" s="95">
        <f>[3]Horizon_AS!$IO$53</f>
        <v>0</v>
      </c>
      <c r="E31" s="95">
        <f>'[3]Air Wisconsin'!$IO$53</f>
        <v>0</v>
      </c>
      <c r="F31" s="95">
        <f>[3]Jazz_AC!$IO$53</f>
        <v>0</v>
      </c>
      <c r="G31" s="95">
        <f>[3]PSA!$IO$53</f>
        <v>0</v>
      </c>
      <c r="H31" s="87">
        <f>'[3]Atlantic Southeast'!$IO$53</f>
        <v>0</v>
      </c>
      <c r="I31" s="87">
        <f>'[3]Continental Express'!$IO$53</f>
        <v>0</v>
      </c>
      <c r="J31" s="95">
        <f>'[3]Go Jet_UA'!$IO$53</f>
        <v>0</v>
      </c>
      <c r="K31" s="95">
        <f>'[3]Go Jet'!$IO$53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320</v>
      </c>
      <c r="F32" s="105">
        <f t="shared" si="21"/>
        <v>2273.9</v>
      </c>
      <c r="G32" s="105">
        <f t="shared" si="20"/>
        <v>60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2653.9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America'!$IO$57</f>
        <v>0</v>
      </c>
      <c r="C35" s="95">
        <f>'[3]Shuttle America_Delta'!$IO$57</f>
        <v>0</v>
      </c>
      <c r="D35" s="95">
        <f>[3]Horizon_AS!$IO$57</f>
        <v>0</v>
      </c>
      <c r="E35" s="95">
        <f>'[3]Air Wisconsin'!$IO$57</f>
        <v>0</v>
      </c>
      <c r="F35" s="95">
        <f>[3]Jazz_AC!$IO$57</f>
        <v>0</v>
      </c>
      <c r="G35" s="95">
        <f>[3]PSA!$IO$57</f>
        <v>0</v>
      </c>
      <c r="H35" s="87">
        <f>'[3]Atlantic Southeast'!$IO$57</f>
        <v>0</v>
      </c>
      <c r="I35" s="87">
        <f>'[3]Continental Express'!$IO$57</f>
        <v>0</v>
      </c>
      <c r="J35" s="95">
        <f>'[3]Go Jet_UA'!$AJ$57</f>
        <v>0</v>
      </c>
      <c r="K35" s="95">
        <f>'[3]Go Jet'!$IO$57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2063</v>
      </c>
      <c r="F40" s="95">
        <f t="shared" si="28"/>
        <v>28880.5</v>
      </c>
      <c r="G40" s="95">
        <f t="shared" si="27"/>
        <v>254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31197.5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2063</v>
      </c>
      <c r="F42" s="108">
        <f t="shared" si="34"/>
        <v>28880.5</v>
      </c>
      <c r="G42" s="108">
        <f t="shared" si="33"/>
        <v>254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31197.5</v>
      </c>
    </row>
    <row r="43" spans="1:12" ht="4.5" customHeight="1" x14ac:dyDescent="0.2"/>
    <row r="44" spans="1:12" hidden="1" x14ac:dyDescent="0.2">
      <c r="A44" s="243" t="s">
        <v>123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124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120</v>
      </c>
      <c r="C46" s="242">
        <f>'[3]Shuttle America_Delta'!$IO$70+'[3]Shuttle America_Delta'!$IO$73</f>
        <v>0</v>
      </c>
      <c r="D46" s="2"/>
      <c r="E46" s="2"/>
      <c r="H46" s="242">
        <f>'[3]Atlantic Southeast'!$IO$70+'[3]Atlantic Southeast'!$IO$73</f>
        <v>0</v>
      </c>
      <c r="K46" s="242">
        <f>'[3]Go Jet'!$IO$70+'[3]Go Jet'!$IO$73</f>
        <v>0</v>
      </c>
      <c r="L46" s="288">
        <f>SUM(B46:K46)</f>
        <v>0</v>
      </c>
    </row>
    <row r="47" spans="1:12" x14ac:dyDescent="0.2">
      <c r="A47" s="289" t="s">
        <v>121</v>
      </c>
      <c r="C47" s="242">
        <f>'[3]Shuttle America_Delta'!$IO$71+'[3]Shuttle America_Delta'!$IO$74</f>
        <v>0</v>
      </c>
      <c r="D47" s="2"/>
      <c r="E47" s="2"/>
      <c r="H47" s="242">
        <f>'[3]Atlantic Southeast'!$IO$71+'[3]Atlantic Southeast'!$IO$74</f>
        <v>0</v>
      </c>
      <c r="K47" s="242">
        <f>'[3]Go Jet'!$IO$71+'[3]Go Jet'!$IO$74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October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37"/>
  <sheetViews>
    <sheetView zoomScale="115" zoomScaleNormal="115" workbookViewId="0">
      <selection activeCell="I7" sqref="I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8" ht="26.25" thickBot="1" x14ac:dyDescent="0.25">
      <c r="A2" s="396">
        <v>45200</v>
      </c>
      <c r="B2" s="147" t="s">
        <v>116</v>
      </c>
      <c r="C2" s="147" t="s">
        <v>150</v>
      </c>
      <c r="D2" s="81" t="s">
        <v>77</v>
      </c>
      <c r="E2" s="81" t="s">
        <v>151</v>
      </c>
      <c r="F2" s="81" t="s">
        <v>247</v>
      </c>
      <c r="G2" s="147" t="s">
        <v>129</v>
      </c>
      <c r="H2" s="144" t="s">
        <v>78</v>
      </c>
    </row>
    <row r="3" spans="1:18" x14ac:dyDescent="0.2">
      <c r="A3" s="202" t="s">
        <v>3</v>
      </c>
      <c r="B3" s="153"/>
      <c r="C3" s="152"/>
      <c r="D3" s="152"/>
      <c r="E3" s="152"/>
      <c r="F3" s="152"/>
      <c r="G3" s="152"/>
      <c r="H3" s="194"/>
    </row>
    <row r="4" spans="1:18" x14ac:dyDescent="0.2">
      <c r="A4" s="45" t="s">
        <v>29</v>
      </c>
      <c r="B4" s="313"/>
      <c r="C4" s="151"/>
      <c r="D4" s="151"/>
      <c r="E4" s="151"/>
      <c r="F4" s="151"/>
      <c r="G4" s="151"/>
      <c r="H4" s="184"/>
    </row>
    <row r="5" spans="1:18" x14ac:dyDescent="0.2">
      <c r="A5" s="45" t="s">
        <v>30</v>
      </c>
      <c r="B5" s="313">
        <f>'[3]Charter Misc'!$IO$22</f>
        <v>0</v>
      </c>
      <c r="C5" s="151">
        <f>[3]Ryan!$IO$22</f>
        <v>0</v>
      </c>
      <c r="D5" s="151">
        <f>'[3]Charter Misc'!$IO$32</f>
        <v>0</v>
      </c>
      <c r="E5" s="151">
        <f>[3]Omni!$IO$32+[3]Omni!$IO$22</f>
        <v>0</v>
      </c>
      <c r="F5" s="151">
        <f>'[3]Red Way'!$IO$32+'[3]Red Way'!$IO$22</f>
        <v>0</v>
      </c>
      <c r="G5" s="151">
        <f>[3]Xtra!$IO$32+[3]Xtra!$IO$22</f>
        <v>0</v>
      </c>
      <c r="H5" s="249">
        <f>SUM(B5:G5)</f>
        <v>0</v>
      </c>
    </row>
    <row r="6" spans="1:18" x14ac:dyDescent="0.2">
      <c r="A6" s="45" t="s">
        <v>31</v>
      </c>
      <c r="B6" s="314">
        <f>'[3]Charter Misc'!$IO$23</f>
        <v>0</v>
      </c>
      <c r="C6" s="154">
        <f>[3]Ryan!$IO$23</f>
        <v>0</v>
      </c>
      <c r="D6" s="154">
        <f>'[3]Charter Misc'!$IO$33</f>
        <v>0</v>
      </c>
      <c r="E6" s="154">
        <f>[3]Omni!$IO$33+[3]Omni!$IO$23</f>
        <v>0</v>
      </c>
      <c r="F6" s="154">
        <f>'[3]Red Way'!$IO$33+'[3]Red Way'!$IO$23</f>
        <v>0</v>
      </c>
      <c r="G6" s="154">
        <f>[3]Xtra!$IO$33+[3]Xtra!$IO$23</f>
        <v>0</v>
      </c>
      <c r="H6" s="249">
        <f>SUM(B6:G6)</f>
        <v>0</v>
      </c>
    </row>
    <row r="7" spans="1:18" ht="15.75" thickBot="1" x14ac:dyDescent="0.3">
      <c r="A7" s="150" t="s">
        <v>7</v>
      </c>
      <c r="B7" s="315">
        <f t="shared" ref="B7:G7" si="0">SUM(B5:B6)</f>
        <v>0</v>
      </c>
      <c r="C7" s="219">
        <f t="shared" si="0"/>
        <v>0</v>
      </c>
      <c r="D7" s="219">
        <f t="shared" si="0"/>
        <v>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20">
        <f>SUM(B7:G7)</f>
        <v>0</v>
      </c>
    </row>
    <row r="8" spans="1:18" ht="13.5" thickBot="1" x14ac:dyDescent="0.25"/>
    <row r="9" spans="1:18" x14ac:dyDescent="0.2">
      <c r="A9" s="148" t="s">
        <v>9</v>
      </c>
      <c r="B9" s="316"/>
      <c r="C9" s="29"/>
      <c r="D9" s="29"/>
      <c r="E9" s="29"/>
      <c r="F9" s="29"/>
      <c r="G9" s="29"/>
      <c r="H9" s="40"/>
    </row>
    <row r="10" spans="1:18" x14ac:dyDescent="0.2">
      <c r="A10" s="149" t="s">
        <v>79</v>
      </c>
      <c r="B10" s="313">
        <f>'[3]Charter Misc'!$IO$4</f>
        <v>0</v>
      </c>
      <c r="C10" s="151">
        <f>[3]Ryan!$IO$4</f>
        <v>0</v>
      </c>
      <c r="D10" s="151">
        <f>'[3]Charter Misc'!$IO$15</f>
        <v>0</v>
      </c>
      <c r="E10" s="151">
        <f>[3]Omni!$IO$15+[3]Omni!$IO$4</f>
        <v>0</v>
      </c>
      <c r="F10" s="151">
        <f>'[3]Red Way'!$IO$15+'[3]Red Way'!$IO$4</f>
        <v>0</v>
      </c>
      <c r="G10" s="151">
        <f>[3]Xtra!$IO$15+[3]Xtra!$IO$4</f>
        <v>0</v>
      </c>
      <c r="H10" s="248">
        <f>SUM(B10:G10)</f>
        <v>0</v>
      </c>
    </row>
    <row r="11" spans="1:18" x14ac:dyDescent="0.2">
      <c r="A11" s="149" t="s">
        <v>80</v>
      </c>
      <c r="B11" s="313">
        <f>'[3]Charter Misc'!$IO$5</f>
        <v>0</v>
      </c>
      <c r="C11" s="151">
        <f>[3]Ryan!$IO$5</f>
        <v>0</v>
      </c>
      <c r="D11" s="151">
        <f>'[3]Charter Misc'!$IO$16</f>
        <v>0</v>
      </c>
      <c r="E11" s="151">
        <f>[3]Omni!$IO$16+[3]Omni!$IO$5</f>
        <v>0</v>
      </c>
      <c r="F11" s="151">
        <f>'[3]Red Way'!$IO$16+'[3]Red Way'!$IO$5</f>
        <v>0</v>
      </c>
      <c r="G11" s="151">
        <f>[3]Xtra!$IO$16+[3]Xtra!$IO$5</f>
        <v>0</v>
      </c>
      <c r="H11" s="248">
        <f>SUM(B11:G11)</f>
        <v>0</v>
      </c>
    </row>
    <row r="12" spans="1:18" ht="15.75" thickBot="1" x14ac:dyDescent="0.3">
      <c r="A12" s="201" t="s">
        <v>28</v>
      </c>
      <c r="B12" s="317">
        <f t="shared" ref="B12:G12" si="1">SUM(B10:B11)</f>
        <v>0</v>
      </c>
      <c r="C12" s="221">
        <f t="shared" si="1"/>
        <v>0</v>
      </c>
      <c r="D12" s="221">
        <f t="shared" si="1"/>
        <v>0</v>
      </c>
      <c r="E12" s="221">
        <f t="shared" si="1"/>
        <v>0</v>
      </c>
      <c r="F12" s="221">
        <f t="shared" si="1"/>
        <v>0</v>
      </c>
      <c r="G12" s="221">
        <f t="shared" si="1"/>
        <v>0</v>
      </c>
      <c r="H12" s="222">
        <f>SUM(B12:G12)</f>
        <v>0</v>
      </c>
      <c r="R12" s="95"/>
    </row>
    <row r="17" spans="1:16" x14ac:dyDescent="0.2">
      <c r="B17" s="447" t="s">
        <v>148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9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50" t="s">
        <v>117</v>
      </c>
      <c r="C19" s="451"/>
      <c r="D19" s="451"/>
      <c r="E19" s="452"/>
      <c r="G19" s="450" t="s">
        <v>118</v>
      </c>
      <c r="H19" s="453"/>
      <c r="I19" s="453"/>
      <c r="J19" s="454"/>
      <c r="L19" s="455" t="s">
        <v>119</v>
      </c>
      <c r="M19" s="456"/>
      <c r="N19" s="456"/>
      <c r="O19" s="457"/>
    </row>
    <row r="20" spans="1:16" ht="13.5" thickBot="1" x14ac:dyDescent="0.25">
      <c r="A20" s="175" t="s">
        <v>99</v>
      </c>
      <c r="B20" s="434" t="s">
        <v>100</v>
      </c>
      <c r="C20" s="434" t="s">
        <v>101</v>
      </c>
      <c r="D20" s="434" t="s">
        <v>236</v>
      </c>
      <c r="E20" s="434" t="s">
        <v>222</v>
      </c>
      <c r="F20" s="434" t="s">
        <v>96</v>
      </c>
      <c r="G20" s="434" t="s">
        <v>100</v>
      </c>
      <c r="H20" s="434" t="s">
        <v>101</v>
      </c>
      <c r="I20" s="434" t="s">
        <v>236</v>
      </c>
      <c r="J20" s="434" t="s">
        <v>222</v>
      </c>
      <c r="K20" s="434" t="s">
        <v>96</v>
      </c>
      <c r="L20" s="434" t="s">
        <v>100</v>
      </c>
      <c r="M20" s="434" t="s">
        <v>101</v>
      </c>
      <c r="N20" s="434" t="s">
        <v>236</v>
      </c>
      <c r="O20" s="434" t="s">
        <v>222</v>
      </c>
      <c r="P20" s="434" t="s">
        <v>96</v>
      </c>
    </row>
    <row r="21" spans="1:16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2">SUM(B21:C21)</f>
        <v>255954</v>
      </c>
      <c r="E21" s="433">
        <f>[5]Charter!$D$21</f>
        <v>154314</v>
      </c>
      <c r="F21" s="424">
        <f t="shared" ref="F21:F32" si="3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4">SUM(G21:H21)</f>
        <v>2136976</v>
      </c>
      <c r="J21" s="433">
        <f>[5]Charter!I21</f>
        <v>1842508</v>
      </c>
      <c r="K21" s="430">
        <f t="shared" ref="K21:K32" si="5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 t="shared" ref="N21:N28" si="6">SUM(L21:M21)</f>
        <v>2392930</v>
      </c>
      <c r="O21" s="433">
        <f>[5]Charter!N21</f>
        <v>1996822</v>
      </c>
      <c r="P21" s="429">
        <f>(N21-O21)/O21</f>
        <v>0.19836920867258073</v>
      </c>
    </row>
    <row r="22" spans="1:16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7">SUM(B22:C22)</f>
        <v>251121</v>
      </c>
      <c r="E22" s="423">
        <f>[7]Charter!D22</f>
        <v>169898</v>
      </c>
      <c r="F22" s="425">
        <f t="shared" si="3"/>
        <v>0.47806919445785118</v>
      </c>
      <c r="G22" s="423">
        <f t="shared" ref="G22" si="8">L22-B22</f>
        <v>996328</v>
      </c>
      <c r="H22" s="423">
        <f t="shared" ref="H22" si="9">M22-C22</f>
        <v>1014184</v>
      </c>
      <c r="I22" s="423">
        <f t="shared" ref="I22" si="10">SUM(G22:H22)</f>
        <v>2010512</v>
      </c>
      <c r="J22" s="423">
        <f>[7]Charter!I22</f>
        <v>1925453</v>
      </c>
      <c r="K22" s="431">
        <f t="shared" si="5"/>
        <v>4.4176097780626172E-2</v>
      </c>
      <c r="L22" s="433">
        <f>+[6]Charter!L22</f>
        <v>1121168</v>
      </c>
      <c r="M22" s="433">
        <f>+[6]Charter!M22</f>
        <v>1140465</v>
      </c>
      <c r="N22" s="433">
        <f t="shared" si="6"/>
        <v>2261633</v>
      </c>
      <c r="O22" s="423">
        <f>[7]Charter!N22</f>
        <v>2095351</v>
      </c>
      <c r="P22" s="420">
        <f t="shared" ref="P22:P32" si="11">(N22-O22)/O22</f>
        <v>7.9357587344554684E-2</v>
      </c>
    </row>
    <row r="23" spans="1:16" ht="14.1" customHeight="1" x14ac:dyDescent="0.2">
      <c r="A23" s="181" t="s">
        <v>104</v>
      </c>
      <c r="B23" s="433">
        <f>+[8]Charter!B23</f>
        <v>169369</v>
      </c>
      <c r="C23" s="433">
        <f>+[8]Charter!C23</f>
        <v>172194</v>
      </c>
      <c r="D23" s="423">
        <f t="shared" ref="D23" si="12">SUM(B23:C23)</f>
        <v>341563</v>
      </c>
      <c r="E23" s="423">
        <f>[9]Charter!D23</f>
        <v>248666</v>
      </c>
      <c r="F23" s="426">
        <f t="shared" si="3"/>
        <v>0.37358143051321852</v>
      </c>
      <c r="G23" s="423">
        <f t="shared" ref="G23" si="13">L23-B23</f>
        <v>1336750</v>
      </c>
      <c r="H23" s="423">
        <f t="shared" ref="H23" si="14">M23-C23</f>
        <v>1356247</v>
      </c>
      <c r="I23" s="423">
        <f t="shared" ref="I23" si="15">SUM(G23:H23)</f>
        <v>2692997</v>
      </c>
      <c r="J23" s="423">
        <f>[9]Charter!I23</f>
        <v>2580302</v>
      </c>
      <c r="K23" s="431">
        <f t="shared" si="5"/>
        <v>4.3675120199108478E-2</v>
      </c>
      <c r="L23" s="433">
        <f>+[8]Charter!L23</f>
        <v>1506119</v>
      </c>
      <c r="M23" s="433">
        <f>+[8]Charter!M23</f>
        <v>1528441</v>
      </c>
      <c r="N23" s="433">
        <f t="shared" si="6"/>
        <v>3034560</v>
      </c>
      <c r="O23" s="423">
        <f>[9]Charter!N23</f>
        <v>2828968</v>
      </c>
      <c r="P23" s="420">
        <f t="shared" si="11"/>
        <v>7.2673851383260615E-2</v>
      </c>
    </row>
    <row r="24" spans="1:16" ht="14.1" customHeight="1" x14ac:dyDescent="0.2">
      <c r="A24" s="181" t="s">
        <v>105</v>
      </c>
      <c r="B24" s="433">
        <f>+[10]Charter!B24</f>
        <v>133601</v>
      </c>
      <c r="C24" s="433">
        <f>+[10]Charter!C24</f>
        <v>115857</v>
      </c>
      <c r="D24" s="423">
        <f t="shared" ref="D24" si="16">SUM(B24:C24)</f>
        <v>249458</v>
      </c>
      <c r="E24" s="423">
        <f>[11]Charter!D24</f>
        <v>153818</v>
      </c>
      <c r="F24" s="426">
        <f t="shared" si="3"/>
        <v>0.62177378460258226</v>
      </c>
      <c r="G24" s="423">
        <f t="shared" ref="G24" si="17">L24-B24</f>
        <v>1305362</v>
      </c>
      <c r="H24" s="423">
        <f t="shared" ref="H24" si="18">M24-C24</f>
        <v>1227285</v>
      </c>
      <c r="I24" s="423">
        <f t="shared" ref="I24" si="19">SUM(G24:H24)</f>
        <v>2532647</v>
      </c>
      <c r="J24" s="423">
        <f>[11]Charter!I24</f>
        <v>2445202</v>
      </c>
      <c r="K24" s="431">
        <f t="shared" si="5"/>
        <v>3.5761871616332722E-2</v>
      </c>
      <c r="L24" s="433">
        <f>+[10]Charter!L24</f>
        <v>1438963</v>
      </c>
      <c r="M24" s="433">
        <f>+[10]Charter!M24</f>
        <v>1343142</v>
      </c>
      <c r="N24" s="433">
        <f t="shared" si="6"/>
        <v>2782105</v>
      </c>
      <c r="O24" s="423">
        <f>[11]Charter!N24</f>
        <v>2599020</v>
      </c>
      <c r="P24" s="420">
        <f t="shared" si="11"/>
        <v>7.0443859608621706E-2</v>
      </c>
    </row>
    <row r="25" spans="1:16" ht="14.1" customHeight="1" x14ac:dyDescent="0.2">
      <c r="A25" s="174" t="s">
        <v>75</v>
      </c>
      <c r="B25" s="433">
        <f>+[12]Charter!B25</f>
        <v>102957</v>
      </c>
      <c r="C25" s="433">
        <f>+[12]Charter!C25</f>
        <v>111285</v>
      </c>
      <c r="D25" s="423">
        <f t="shared" ref="D25" si="20">SUM(B25:C25)</f>
        <v>214242</v>
      </c>
      <c r="E25" s="423">
        <f>[13]Charter!D25</f>
        <v>131276</v>
      </c>
      <c r="F25" s="427">
        <f t="shared" si="3"/>
        <v>0.63199670922331574</v>
      </c>
      <c r="G25" s="423">
        <f t="shared" ref="G25" si="21">L25-B25</f>
        <v>1351079</v>
      </c>
      <c r="H25" s="423">
        <f t="shared" ref="H25" si="22">M25-C25</f>
        <v>1297633</v>
      </c>
      <c r="I25" s="423">
        <f t="shared" ref="I25" si="23">SUM(G25:H25)</f>
        <v>2648712</v>
      </c>
      <c r="J25" s="423">
        <f>[13]Charter!I25</f>
        <v>2565837</v>
      </c>
      <c r="K25" s="432">
        <f t="shared" si="5"/>
        <v>3.2299401715697451E-2</v>
      </c>
      <c r="L25" s="433">
        <f>+[12]Charter!L25</f>
        <v>1454036</v>
      </c>
      <c r="M25" s="433">
        <f>+[12]Charter!M25</f>
        <v>1408918</v>
      </c>
      <c r="N25" s="433">
        <f t="shared" si="6"/>
        <v>2862954</v>
      </c>
      <c r="O25" s="423">
        <f>[13]Charter!N25</f>
        <v>2697113</v>
      </c>
      <c r="P25" s="421">
        <f t="shared" si="11"/>
        <v>6.1488339569013235E-2</v>
      </c>
    </row>
    <row r="26" spans="1:16" ht="14.1" customHeight="1" x14ac:dyDescent="0.2">
      <c r="A26" s="181" t="s">
        <v>106</v>
      </c>
      <c r="B26" s="433">
        <f>+[14]Charter!B26</f>
        <v>121820</v>
      </c>
      <c r="C26" s="433">
        <f>+[14]Charter!C26</f>
        <v>128458</v>
      </c>
      <c r="D26" s="423">
        <f t="shared" ref="D26" si="24">SUM(B26:C26)</f>
        <v>250278</v>
      </c>
      <c r="E26" s="423">
        <f>[15]Charter!D26</f>
        <v>180003</v>
      </c>
      <c r="F26" s="426">
        <f t="shared" si="3"/>
        <v>0.39041015983066951</v>
      </c>
      <c r="G26" s="423">
        <f t="shared" ref="G26" si="25">L26-B26</f>
        <v>1511419</v>
      </c>
      <c r="H26" s="423">
        <f t="shared" ref="H26" si="26">M26-C26</f>
        <v>1495883</v>
      </c>
      <c r="I26" s="423">
        <f t="shared" ref="I26" si="27">SUM(G26:H26)</f>
        <v>3007302</v>
      </c>
      <c r="J26" s="423">
        <f>[15]Charter!I26</f>
        <v>2666878</v>
      </c>
      <c r="K26" s="431">
        <f t="shared" si="5"/>
        <v>0.12764888382595679</v>
      </c>
      <c r="L26" s="433">
        <f>+[14]Charter!L26</f>
        <v>1633239</v>
      </c>
      <c r="M26" s="433">
        <f>+[14]Charter!M26</f>
        <v>1624341</v>
      </c>
      <c r="N26" s="433">
        <f t="shared" si="6"/>
        <v>3257580</v>
      </c>
      <c r="O26" s="423">
        <f>[15]Charter!N26</f>
        <v>2846881</v>
      </c>
      <c r="P26" s="420">
        <f t="shared" si="11"/>
        <v>0.1442627914549291</v>
      </c>
    </row>
    <row r="27" spans="1:16" ht="14.1" customHeight="1" x14ac:dyDescent="0.2">
      <c r="A27" s="174" t="s">
        <v>107</v>
      </c>
      <c r="B27" s="433">
        <f>+[16]Charter!B27</f>
        <v>139115</v>
      </c>
      <c r="C27" s="433">
        <f>+[16]Charter!C27</f>
        <v>126500</v>
      </c>
      <c r="D27" s="423">
        <f t="shared" ref="D27" si="28">SUM(B27:C27)</f>
        <v>265615</v>
      </c>
      <c r="E27" s="423">
        <f>[17]Charter!D27</f>
        <v>180630</v>
      </c>
      <c r="F27" s="427">
        <f t="shared" si="3"/>
        <v>0.47049216630681506</v>
      </c>
      <c r="G27" s="423">
        <f t="shared" ref="G27" si="29">L27-B27</f>
        <v>1576788</v>
      </c>
      <c r="H27" s="423">
        <f t="shared" ref="H27" si="30">M27-C27</f>
        <v>1577344</v>
      </c>
      <c r="I27" s="423">
        <f t="shared" ref="I27" si="31">SUM(G27:H27)</f>
        <v>3154132</v>
      </c>
      <c r="J27" s="423">
        <f>[17]Charter!I27</f>
        <v>2778188</v>
      </c>
      <c r="K27" s="432">
        <f t="shared" si="5"/>
        <v>0.1353198559636713</v>
      </c>
      <c r="L27" s="433">
        <f>+[16]Charter!L27</f>
        <v>1715903</v>
      </c>
      <c r="M27" s="433">
        <f>+[16]Charter!M27</f>
        <v>1703844</v>
      </c>
      <c r="N27" s="433">
        <f t="shared" si="6"/>
        <v>3419747</v>
      </c>
      <c r="O27" s="423">
        <f>[17]Charter!N27</f>
        <v>2958818</v>
      </c>
      <c r="P27" s="421">
        <f t="shared" si="11"/>
        <v>0.15578146408464461</v>
      </c>
    </row>
    <row r="28" spans="1:16" ht="14.1" customHeight="1" x14ac:dyDescent="0.2">
      <c r="A28" s="181" t="s">
        <v>108</v>
      </c>
      <c r="B28" s="433">
        <f>+[18]Charter!B28</f>
        <v>136198</v>
      </c>
      <c r="C28" s="433">
        <f>+[18]Charter!C28</f>
        <v>125692</v>
      </c>
      <c r="D28" s="423">
        <f t="shared" ref="D28" si="32">SUM(B28:C28)</f>
        <v>261890</v>
      </c>
      <c r="E28" s="423">
        <f>[19]Charter!D28</f>
        <v>181603</v>
      </c>
      <c r="F28" s="426">
        <f t="shared" si="3"/>
        <v>0.44210172739437126</v>
      </c>
      <c r="G28" s="423">
        <f t="shared" ref="G28" si="33">L28-B28</f>
        <v>1547751</v>
      </c>
      <c r="H28" s="423">
        <f t="shared" ref="H28" si="34">M28-C28</f>
        <v>1533750</v>
      </c>
      <c r="I28" s="423">
        <f t="shared" ref="I28" si="35">SUM(G28:H28)</f>
        <v>3081501</v>
      </c>
      <c r="J28" s="423">
        <f>[19]Charter!I28</f>
        <v>2731608</v>
      </c>
      <c r="K28" s="431">
        <f t="shared" si="5"/>
        <v>0.1280904873612905</v>
      </c>
      <c r="L28" s="433">
        <f>+[18]Charter!L28</f>
        <v>1683949</v>
      </c>
      <c r="M28" s="433">
        <f>+[18]Charter!M28</f>
        <v>1659442</v>
      </c>
      <c r="N28" s="433">
        <f t="shared" si="6"/>
        <v>3343391</v>
      </c>
      <c r="O28" s="423">
        <f>[19]Charter!N28</f>
        <v>2913211</v>
      </c>
      <c r="P28" s="420">
        <f t="shared" si="11"/>
        <v>0.14766523949003352</v>
      </c>
    </row>
    <row r="29" spans="1:16" ht="14.1" customHeight="1" x14ac:dyDescent="0.2">
      <c r="A29" s="174" t="s">
        <v>109</v>
      </c>
      <c r="B29" s="433">
        <f>+[2]Charter!B29</f>
        <v>114472</v>
      </c>
      <c r="C29" s="433">
        <f>+[2]Charter!C29</f>
        <v>112599</v>
      </c>
      <c r="D29" s="423">
        <f t="shared" ref="D29" si="36">SUM(B29:C29)</f>
        <v>227071</v>
      </c>
      <c r="E29" s="423">
        <f>[20]Charter!D29</f>
        <v>146335</v>
      </c>
      <c r="F29" s="427">
        <f t="shared" si="3"/>
        <v>0.55172036764957122</v>
      </c>
      <c r="G29" s="423">
        <f t="shared" ref="G29" si="37">L29-B29</f>
        <v>1301826</v>
      </c>
      <c r="H29" s="423">
        <f t="shared" ref="H29" si="38">M29-C29</f>
        <v>1328191</v>
      </c>
      <c r="I29" s="423">
        <f t="shared" ref="I29" si="39">SUM(G29:H29)</f>
        <v>2630017</v>
      </c>
      <c r="J29" s="423">
        <f>[20]Charter!I29</f>
        <v>2451268</v>
      </c>
      <c r="K29" s="432">
        <f t="shared" si="5"/>
        <v>7.2921035154050878E-2</v>
      </c>
      <c r="L29" s="433">
        <f>+[2]Charter!L29</f>
        <v>1416298</v>
      </c>
      <c r="M29" s="433">
        <f>+[2]Charter!M29</f>
        <v>1440790</v>
      </c>
      <c r="N29" s="433">
        <f t="shared" ref="N29" si="40">SUM(L29:M29)</f>
        <v>2857088</v>
      </c>
      <c r="O29" s="423">
        <f>[20]Charter!N29</f>
        <v>2597603</v>
      </c>
      <c r="P29" s="421">
        <f t="shared" si="11"/>
        <v>9.9894017677066127E-2</v>
      </c>
    </row>
    <row r="30" spans="1:16" ht="14.1" customHeight="1" x14ac:dyDescent="0.2">
      <c r="A30" s="181" t="s">
        <v>110</v>
      </c>
      <c r="B30" s="423">
        <f>+'Intl Detail'!$Q$4+'Intl Detail'!$Q$9</f>
        <v>113368</v>
      </c>
      <c r="C30" s="423">
        <f>+'Intl Detail'!$Q$5+'Intl Detail'!$Q$10</f>
        <v>104951</v>
      </c>
      <c r="D30" s="423">
        <f t="shared" ref="D30" si="41">SUM(B30:C30)</f>
        <v>218319</v>
      </c>
      <c r="E30" s="423">
        <f>[1]Charter!D30</f>
        <v>138306</v>
      </c>
      <c r="F30" s="426">
        <f t="shared" si="3"/>
        <v>0.57852153919569649</v>
      </c>
      <c r="G30" s="423">
        <f t="shared" ref="G30" si="42">L30-B30</f>
        <v>1371335</v>
      </c>
      <c r="H30" s="423">
        <f t="shared" ref="H30" si="43">M30-C30</f>
        <v>1413534</v>
      </c>
      <c r="I30" s="423">
        <f t="shared" ref="I30" si="44">SUM(G30:H30)</f>
        <v>2784869</v>
      </c>
      <c r="J30" s="423">
        <f>[1]Charter!I30</f>
        <v>2551547</v>
      </c>
      <c r="K30" s="431">
        <f t="shared" si="5"/>
        <v>9.1443347898353428E-2</v>
      </c>
      <c r="L30" s="423">
        <f>+'Monthly Summary'!$B$11</f>
        <v>1484703</v>
      </c>
      <c r="M30" s="423">
        <f>+'Monthly Summary'!$C$11</f>
        <v>1518485</v>
      </c>
      <c r="N30" s="433">
        <f t="shared" ref="N30" si="45">SUM(L30:M30)</f>
        <v>3003188</v>
      </c>
      <c r="O30" s="423">
        <f>[1]Charter!N30</f>
        <v>2689853</v>
      </c>
      <c r="P30" s="420">
        <f t="shared" si="11"/>
        <v>0.11648777832840679</v>
      </c>
    </row>
    <row r="31" spans="1:16" ht="14.1" customHeight="1" x14ac:dyDescent="0.2">
      <c r="A31" s="174" t="s">
        <v>111</v>
      </c>
      <c r="B31" s="423"/>
      <c r="C31" s="423"/>
      <c r="D31" s="423"/>
      <c r="E31" s="423"/>
      <c r="F31" s="427" t="e">
        <f t="shared" si="3"/>
        <v>#DIV/0!</v>
      </c>
      <c r="G31" s="423"/>
      <c r="H31" s="423"/>
      <c r="I31" s="423"/>
      <c r="J31" s="423"/>
      <c r="K31" s="432" t="e">
        <f t="shared" si="5"/>
        <v>#DIV/0!</v>
      </c>
      <c r="L31" s="423"/>
      <c r="M31" s="423"/>
      <c r="N31" s="423"/>
      <c r="O31" s="423"/>
      <c r="P31" s="421" t="e">
        <f t="shared" si="11"/>
        <v>#DIV/0!</v>
      </c>
    </row>
    <row r="32" spans="1:16" ht="14.1" customHeight="1" x14ac:dyDescent="0.2">
      <c r="A32" s="182" t="s">
        <v>112</v>
      </c>
      <c r="B32" s="423"/>
      <c r="C32" s="423"/>
      <c r="D32" s="423"/>
      <c r="E32" s="423"/>
      <c r="F32" s="428" t="e">
        <f t="shared" si="3"/>
        <v>#DIV/0!</v>
      </c>
      <c r="G32" s="423"/>
      <c r="H32" s="423"/>
      <c r="I32" s="423"/>
      <c r="J32" s="423"/>
      <c r="K32" s="428" t="e">
        <f t="shared" si="5"/>
        <v>#DIV/0!</v>
      </c>
      <c r="L32" s="423"/>
      <c r="M32" s="423"/>
      <c r="N32" s="423"/>
      <c r="O32" s="423"/>
      <c r="P32" s="422" t="e">
        <f t="shared" si="11"/>
        <v>#DIV/0!</v>
      </c>
    </row>
    <row r="33" spans="1:16" ht="13.5" thickBot="1" x14ac:dyDescent="0.25">
      <c r="A33" s="179" t="s">
        <v>76</v>
      </c>
      <c r="B33" s="185">
        <f>SUM(B21:B32)</f>
        <v>1285391</v>
      </c>
      <c r="C33" s="186">
        <f>SUM(C21:C32)</f>
        <v>1250120</v>
      </c>
      <c r="D33" s="186">
        <f>SUM(D21:D32)</f>
        <v>2535511</v>
      </c>
      <c r="E33" s="187">
        <f>SUM(E21:E32)</f>
        <v>1684849</v>
      </c>
      <c r="F33" s="177">
        <f>(D33-E33)/E33</f>
        <v>0.50488916217417701</v>
      </c>
      <c r="G33" s="188">
        <f>SUM(G21:G32)</f>
        <v>13349906</v>
      </c>
      <c r="H33" s="186">
        <f>SUM(H21:H32)</f>
        <v>13329759</v>
      </c>
      <c r="I33" s="186">
        <f>SUM(I21:I32)</f>
        <v>26679665</v>
      </c>
      <c r="J33" s="189">
        <f>SUM(J21:J32)</f>
        <v>24538791</v>
      </c>
      <c r="K33" s="178">
        <f>(I33-J33)/J33</f>
        <v>8.7244477529475672E-2</v>
      </c>
      <c r="L33" s="188">
        <f>SUM(L21:L32)</f>
        <v>14635297</v>
      </c>
      <c r="M33" s="186">
        <f>SUM(M21:M32)</f>
        <v>14579879</v>
      </c>
      <c r="N33" s="186">
        <f>SUM(N21:N32)</f>
        <v>29215176</v>
      </c>
      <c r="O33" s="187">
        <f>SUM(O21:O32)</f>
        <v>26223640</v>
      </c>
      <c r="P33" s="176">
        <f>(N33-O33)/O33</f>
        <v>0.11407783206297829</v>
      </c>
    </row>
    <row r="35" spans="1:16" x14ac:dyDescent="0.2">
      <c r="N35" s="95"/>
      <c r="O35" s="95"/>
    </row>
    <row r="36" spans="1:16" x14ac:dyDescent="0.2">
      <c r="D36" s="95"/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October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C22" sqref="C22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58" t="s">
        <v>197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60"/>
    </row>
    <row r="2" spans="1:23" s="27" customFormat="1" ht="43.5" customHeight="1" thickBot="1" x14ac:dyDescent="0.25">
      <c r="A2" s="396">
        <v>45200</v>
      </c>
      <c r="B2" s="325" t="s">
        <v>193</v>
      </c>
      <c r="C2" s="325" t="s">
        <v>245</v>
      </c>
      <c r="D2" s="325" t="s">
        <v>214</v>
      </c>
      <c r="E2" s="358" t="s">
        <v>216</v>
      </c>
      <c r="F2" s="358" t="s">
        <v>215</v>
      </c>
      <c r="G2" s="325" t="s">
        <v>198</v>
      </c>
      <c r="H2" s="358" t="s">
        <v>240</v>
      </c>
      <c r="I2" s="358" t="s">
        <v>195</v>
      </c>
      <c r="J2" s="326" t="s">
        <v>81</v>
      </c>
      <c r="K2" s="358" t="s">
        <v>174</v>
      </c>
      <c r="L2" s="325" t="s">
        <v>199</v>
      </c>
      <c r="M2" s="358" t="s">
        <v>85</v>
      </c>
      <c r="N2" s="325" t="s">
        <v>238</v>
      </c>
      <c r="O2" s="325" t="s">
        <v>200</v>
      </c>
      <c r="P2" s="325" t="s">
        <v>201</v>
      </c>
      <c r="Q2" s="326" t="s">
        <v>82</v>
      </c>
      <c r="R2" s="358" t="s">
        <v>126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Air'!$IO$4</f>
        <v>2</v>
      </c>
      <c r="C4" s="132">
        <f>[3]DHL!$IO$8+[3]DHL!$IO$4</f>
        <v>1</v>
      </c>
      <c r="D4" s="132">
        <f>[3]Airborne!$IO$4+[3]Airborne!$IO$15</f>
        <v>4</v>
      </c>
      <c r="E4" s="95">
        <f>[3]DHL_Bemidji!$IO$4</f>
        <v>40</v>
      </c>
      <c r="F4" s="95">
        <f>[3]Bemidji!$IO$4</f>
        <v>173</v>
      </c>
      <c r="G4" s="132">
        <f>[3]DHL_Encore!$IO$4+[3]DHL_Encore!$IO$15</f>
        <v>0</v>
      </c>
      <c r="H4" s="132">
        <f>[3]DHL_Mesa!$IO$4+[3]DHL_Mesa!$IO$15</f>
        <v>15</v>
      </c>
      <c r="I4" s="132">
        <f>[3]Encore!$IO$4+[3]Encore!$IO$15</f>
        <v>0</v>
      </c>
      <c r="J4" s="132">
        <f>[3]FedEx!$IO$4+[3]FedEx!$IO$15</f>
        <v>108</v>
      </c>
      <c r="K4" s="132">
        <f>[3]IFL!$IO$4+[3]IFL!$IO$15</f>
        <v>18</v>
      </c>
      <c r="L4" s="132">
        <f>[3]DHL_Kalitta!$IO$4+[3]DHL_Kalitta!$IO$15</f>
        <v>1</v>
      </c>
      <c r="M4" s="95">
        <f>'[3]Mountain Cargo'!$IO$4</f>
        <v>24</v>
      </c>
      <c r="N4" s="132">
        <f>[3]DHL_Amerijet!$IO$4+[3]DHL_Amerijet!$IO$15</f>
        <v>0</v>
      </c>
      <c r="O4" s="132">
        <f>[3]DHL_Swift!$IO$4+[3]DHL_Swift!$IO$15</f>
        <v>6</v>
      </c>
      <c r="P4" s="132">
        <f>+'[3]Sun Country Cargo'!$IO$4+'[3]Sun Country Cargo'!$IO$8+'[3]Sun Country Cargo'!$IO$15</f>
        <v>120</v>
      </c>
      <c r="Q4" s="132">
        <f>[3]UPS!$IO$4+[3]UPS!$IO$15</f>
        <v>90</v>
      </c>
      <c r="R4" s="95">
        <f>'[3]Misc Cargo'!$IO$4</f>
        <v>1</v>
      </c>
      <c r="S4" s="368">
        <f>SUM(B4:R4)</f>
        <v>603</v>
      </c>
      <c r="U4" s="340"/>
      <c r="V4" s="340"/>
      <c r="W4" s="217"/>
    </row>
    <row r="5" spans="1:23" x14ac:dyDescent="0.2">
      <c r="A5" s="37" t="s">
        <v>54</v>
      </c>
      <c r="B5" s="369">
        <f>'[3]Atlas Air'!$IO$5</f>
        <v>2</v>
      </c>
      <c r="C5" s="156">
        <f>[3]DHL!$IO$9+[3]DHL!$IO$5</f>
        <v>1</v>
      </c>
      <c r="D5" s="156">
        <f>[3]Airborne!$IO$5</f>
        <v>4</v>
      </c>
      <c r="E5" s="96">
        <f>[3]DHL_Bemidji!$IO$5</f>
        <v>40</v>
      </c>
      <c r="F5" s="96">
        <f>[3]Bemidji!$IO$5</f>
        <v>173</v>
      </c>
      <c r="G5" s="156">
        <f>[3]DHL_Encore!$IO$5</f>
        <v>0</v>
      </c>
      <c r="H5" s="156">
        <f>[3]DHL_Mesa!$IO$5</f>
        <v>15</v>
      </c>
      <c r="I5" s="156">
        <f>[3]Encore!$IO$5</f>
        <v>0</v>
      </c>
      <c r="J5" s="156">
        <f>[3]FedEx!$IO$5</f>
        <v>108</v>
      </c>
      <c r="K5" s="156">
        <f>[3]IFL!$IO$5</f>
        <v>18</v>
      </c>
      <c r="L5" s="156">
        <f>[3]DHL_Kalitta!$IO$5</f>
        <v>1</v>
      </c>
      <c r="M5" s="96">
        <f>'[3]Mountain Cargo'!$IO$5</f>
        <v>24</v>
      </c>
      <c r="N5" s="156">
        <f>[3]DHL_Amerijet!$IO$5</f>
        <v>0</v>
      </c>
      <c r="O5" s="156">
        <f>[3]DHL_Swift!$IO$5</f>
        <v>6</v>
      </c>
      <c r="P5" s="156">
        <f>+'[3]Sun Country Cargo'!$IO$5+'[3]Sun Country Cargo'!$IO$9+'[3]Sun Country Cargo'!$IO$16</f>
        <v>120</v>
      </c>
      <c r="Q5" s="156">
        <f>[3]UPS!$IO$5+[3]UPS!$IO$16</f>
        <v>90</v>
      </c>
      <c r="R5" s="96">
        <f>'[3]Misc Cargo'!$IO$5</f>
        <v>1</v>
      </c>
      <c r="S5" s="368">
        <f>SUM(B5:R5)</f>
        <v>603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4</v>
      </c>
      <c r="C6" s="371">
        <f t="shared" si="0"/>
        <v>2</v>
      </c>
      <c r="D6" s="371">
        <f t="shared" ref="D6:E6" si="1">SUM(D4:D5)</f>
        <v>8</v>
      </c>
      <c r="E6" s="93">
        <f t="shared" si="1"/>
        <v>80</v>
      </c>
      <c r="F6" s="93">
        <f t="shared" si="0"/>
        <v>346</v>
      </c>
      <c r="G6" s="371">
        <f t="shared" si="0"/>
        <v>0</v>
      </c>
      <c r="H6" s="371">
        <f t="shared" ref="H6" si="2">SUM(H4:H5)</f>
        <v>30</v>
      </c>
      <c r="I6" s="371">
        <f t="shared" si="0"/>
        <v>0</v>
      </c>
      <c r="J6" s="371">
        <f t="shared" si="0"/>
        <v>216</v>
      </c>
      <c r="K6" s="371">
        <f t="shared" si="0"/>
        <v>36</v>
      </c>
      <c r="L6" s="371">
        <f t="shared" si="0"/>
        <v>2</v>
      </c>
      <c r="M6" s="93">
        <f t="shared" si="0"/>
        <v>48</v>
      </c>
      <c r="N6" s="371">
        <f t="shared" si="0"/>
        <v>0</v>
      </c>
      <c r="O6" s="371">
        <f t="shared" si="0"/>
        <v>12</v>
      </c>
      <c r="P6" s="371">
        <f t="shared" si="0"/>
        <v>240</v>
      </c>
      <c r="Q6" s="371">
        <f t="shared" si="0"/>
        <v>180</v>
      </c>
      <c r="R6" s="93">
        <f t="shared" si="0"/>
        <v>2</v>
      </c>
      <c r="S6" s="368">
        <f t="shared" ref="S6:S10" si="3">SUM(B6:R6)</f>
        <v>1206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Cargo'!$IO$8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Cargo'!$IO$9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4</v>
      </c>
      <c r="C12" s="161">
        <f t="shared" si="7"/>
        <v>2</v>
      </c>
      <c r="D12" s="161">
        <f t="shared" ref="D12:E12" si="8">D6+D10</f>
        <v>8</v>
      </c>
      <c r="E12" s="162">
        <f t="shared" si="8"/>
        <v>80</v>
      </c>
      <c r="F12" s="162">
        <f t="shared" si="7"/>
        <v>346</v>
      </c>
      <c r="G12" s="161">
        <f t="shared" si="7"/>
        <v>0</v>
      </c>
      <c r="H12" s="161">
        <f t="shared" ref="H12" si="9">H6+H10</f>
        <v>30</v>
      </c>
      <c r="I12" s="161">
        <f t="shared" si="7"/>
        <v>0</v>
      </c>
      <c r="J12" s="161">
        <f t="shared" si="7"/>
        <v>216</v>
      </c>
      <c r="K12" s="161">
        <f t="shared" si="7"/>
        <v>36</v>
      </c>
      <c r="L12" s="161">
        <f t="shared" si="7"/>
        <v>2</v>
      </c>
      <c r="M12" s="162">
        <f t="shared" si="7"/>
        <v>48</v>
      </c>
      <c r="N12" s="161">
        <f t="shared" si="7"/>
        <v>0</v>
      </c>
      <c r="O12" s="161">
        <f t="shared" si="7"/>
        <v>12</v>
      </c>
      <c r="P12" s="161">
        <f t="shared" si="7"/>
        <v>240</v>
      </c>
      <c r="Q12" s="161">
        <f t="shared" si="7"/>
        <v>180</v>
      </c>
      <c r="R12" s="162">
        <f t="shared" si="7"/>
        <v>2</v>
      </c>
      <c r="S12" s="374">
        <f>SUM(B12:R12)</f>
        <v>1206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Air'!$IO$47</f>
        <v>34965</v>
      </c>
      <c r="C16" s="132">
        <f>[3]DHL!$IO$47</f>
        <v>46438</v>
      </c>
      <c r="D16" s="132">
        <f>[3]Airborne!$IO$47</f>
        <v>170910</v>
      </c>
      <c r="E16" s="132">
        <f>[3]DHL_Bemidji!$IO$47</f>
        <v>50921</v>
      </c>
      <c r="F16" s="461" t="s">
        <v>86</v>
      </c>
      <c r="G16" s="132">
        <f>[3]DHL_Encore!$IO$47</f>
        <v>0</v>
      </c>
      <c r="H16" s="132">
        <f>[3]DHL_Mesa!$IO$47</f>
        <v>411616</v>
      </c>
      <c r="I16" s="132">
        <f>[3]Encore!$IO$47</f>
        <v>0</v>
      </c>
      <c r="J16" s="132">
        <f>[3]FedEx!$IO$47</f>
        <v>7188357</v>
      </c>
      <c r="K16" s="132">
        <f>[3]IFL!$IO$47</f>
        <v>70772</v>
      </c>
      <c r="L16" s="132">
        <f>[3]DHL_Kalitta!$IO$47</f>
        <v>27815</v>
      </c>
      <c r="M16" s="95">
        <f>'[3]Mountain Cargo'!$IO$47</f>
        <v>0</v>
      </c>
      <c r="N16" s="132">
        <f>[3]DHL_Amerijet!$IO$47</f>
        <v>0</v>
      </c>
      <c r="O16" s="132">
        <f>[3]DHL_Swift!$IO$47</f>
        <v>196196</v>
      </c>
      <c r="P16" s="132">
        <f>+'[3]Sun Country Cargo'!$IO$47</f>
        <v>3170629</v>
      </c>
      <c r="Q16" s="132">
        <f>[3]UPS!$IO$47</f>
        <v>5403148</v>
      </c>
      <c r="R16" s="95">
        <f>'[3]Misc Cargo'!$IO$47</f>
        <v>150</v>
      </c>
      <c r="S16" s="368">
        <f>SUM(B16:E16)+SUM(G16:R16)</f>
        <v>16771917</v>
      </c>
      <c r="U16" s="340"/>
      <c r="V16" s="340"/>
      <c r="W16" s="217"/>
    </row>
    <row r="17" spans="1:23" x14ac:dyDescent="0.2">
      <c r="A17" s="37" t="s">
        <v>38</v>
      </c>
      <c r="B17" s="183">
        <f>'[3]Atlas Air'!$IO$48</f>
        <v>0</v>
      </c>
      <c r="C17" s="132">
        <f>[3]DHL!$IO$48</f>
        <v>0</v>
      </c>
      <c r="D17" s="132">
        <f>[3]Airborne!$IO$48</f>
        <v>0</v>
      </c>
      <c r="E17" s="132">
        <f>[3]DHL_Bemidji!$IO$48</f>
        <v>0</v>
      </c>
      <c r="F17" s="462"/>
      <c r="G17" s="132">
        <f>[3]DHL_Encore!$IO$48</f>
        <v>0</v>
      </c>
      <c r="H17" s="132">
        <f>[3]DHL_Mesa!$IO$48</f>
        <v>0</v>
      </c>
      <c r="I17" s="132">
        <f>[3]Encore!$IO$48</f>
        <v>0</v>
      </c>
      <c r="J17" s="132">
        <f>[3]FedEx!$IO$48</f>
        <v>0</v>
      </c>
      <c r="K17" s="132">
        <f>[3]IFL!$IO$48</f>
        <v>0</v>
      </c>
      <c r="L17" s="132">
        <f>[3]DHL_Kalitta!$IO$48</f>
        <v>0</v>
      </c>
      <c r="M17" s="95">
        <f>'[3]Mountain Cargo'!$IO$48</f>
        <v>12844</v>
      </c>
      <c r="N17" s="132">
        <f>[3]DHL_Amerijet!$IO$48</f>
        <v>0</v>
      </c>
      <c r="O17" s="132">
        <f>[3]DHL_Swift!$IO$48</f>
        <v>0</v>
      </c>
      <c r="P17" s="132">
        <f>+'[3]Sun Country Cargo'!$IO$48</f>
        <v>0</v>
      </c>
      <c r="Q17" s="132">
        <f>[3]UPS!$IO$48</f>
        <v>70665</v>
      </c>
      <c r="R17" s="95">
        <f>'[3]Misc Cargo'!$IO$48</f>
        <v>0</v>
      </c>
      <c r="S17" s="368">
        <f>SUM(B17:E17)+SUM(G17:R17)</f>
        <v>83509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34965</v>
      </c>
      <c r="C18" s="223">
        <f>SUM(C16:C17)</f>
        <v>46438</v>
      </c>
      <c r="D18" s="223">
        <f>SUM(D16:D17)</f>
        <v>170910</v>
      </c>
      <c r="E18" s="223">
        <f>SUM(E16:E17)</f>
        <v>50921</v>
      </c>
      <c r="F18" s="462"/>
      <c r="G18" s="223">
        <f>SUM(G16:G17)</f>
        <v>0</v>
      </c>
      <c r="H18" s="223">
        <f>SUM(H16:H17)</f>
        <v>411616</v>
      </c>
      <c r="I18" s="223">
        <f>SUM(I16:I17)</f>
        <v>0</v>
      </c>
      <c r="J18" s="223">
        <f>SUM(J16:J17)</f>
        <v>7188357</v>
      </c>
      <c r="K18" s="223">
        <f>SUM(K16:K17)</f>
        <v>70772</v>
      </c>
      <c r="L18" s="223">
        <f t="shared" ref="L18:R18" si="10">SUM(L16:L17)</f>
        <v>27815</v>
      </c>
      <c r="M18" s="224">
        <f t="shared" si="10"/>
        <v>12844</v>
      </c>
      <c r="N18" s="223">
        <f t="shared" si="10"/>
        <v>0</v>
      </c>
      <c r="O18" s="223">
        <f t="shared" si="10"/>
        <v>196196</v>
      </c>
      <c r="P18" s="223">
        <f t="shared" si="10"/>
        <v>3170629</v>
      </c>
      <c r="Q18" s="223">
        <f t="shared" si="10"/>
        <v>5473813</v>
      </c>
      <c r="R18" s="224">
        <f t="shared" si="10"/>
        <v>150</v>
      </c>
      <c r="S18" s="380">
        <f>SUM(B18:D18)+SUM(G18:R18)</f>
        <v>16804505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62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62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Air'!$IO$52</f>
        <v>75</v>
      </c>
      <c r="C21" s="132">
        <f>[3]DHL!$IO$52</f>
        <v>27068</v>
      </c>
      <c r="D21" s="132">
        <f>[3]Airborne!$IO$52</f>
        <v>203526</v>
      </c>
      <c r="E21" s="132">
        <f>[3]DHL_Bemidji!$IO$52</f>
        <v>53712</v>
      </c>
      <c r="F21" s="462"/>
      <c r="G21" s="132">
        <f>[3]DHL_Encore!$IO$52</f>
        <v>0</v>
      </c>
      <c r="H21" s="132">
        <f>[3]DHL_Mesa!$IO$52</f>
        <v>293075</v>
      </c>
      <c r="I21" s="132">
        <f>[3]Encore!$IO$52</f>
        <v>0</v>
      </c>
      <c r="J21" s="132">
        <f>[3]FedEx!$IO$52</f>
        <v>5900797</v>
      </c>
      <c r="K21" s="132">
        <f>[3]IFL!$IO$52</f>
        <v>0</v>
      </c>
      <c r="L21" s="132">
        <f>[3]DHL_Kalitta!$IO$52</f>
        <v>25141</v>
      </c>
      <c r="M21" s="95">
        <f>'[3]Mountain Cargo'!$IO$52</f>
        <v>0</v>
      </c>
      <c r="N21" s="132">
        <f>[3]DHL_Amerijet!$IO$52</f>
        <v>0</v>
      </c>
      <c r="O21" s="132">
        <f>[3]DHL_Swift!$IO$52</f>
        <v>134079</v>
      </c>
      <c r="P21" s="132">
        <f>+'[3]Sun Country Cargo'!$IO$52</f>
        <v>3139643</v>
      </c>
      <c r="Q21" s="132">
        <f>[3]UPS!$IO$52</f>
        <v>4149663</v>
      </c>
      <c r="R21" s="95">
        <f>'[3]Misc Cargo'!$IO$52</f>
        <v>0</v>
      </c>
      <c r="S21" s="368">
        <f>SUM(B21:E21)+SUM(G21:R21)</f>
        <v>13926779</v>
      </c>
      <c r="U21" s="340"/>
      <c r="V21" s="340"/>
      <c r="W21" s="217"/>
    </row>
    <row r="22" spans="1:23" x14ac:dyDescent="0.2">
      <c r="A22" s="37" t="s">
        <v>60</v>
      </c>
      <c r="B22" s="183">
        <f>'[3]Atlas Air'!$IO$53</f>
        <v>0</v>
      </c>
      <c r="C22" s="132">
        <f>[3]DHL!$IO$53</f>
        <v>0</v>
      </c>
      <c r="D22" s="132">
        <f>[3]Airborne!$IO$53</f>
        <v>0</v>
      </c>
      <c r="E22" s="132">
        <f>[3]DHL_Bemidji!$IO$53</f>
        <v>0</v>
      </c>
      <c r="F22" s="462"/>
      <c r="G22" s="132">
        <f>[3]DHL_Encore!$IO$53</f>
        <v>0</v>
      </c>
      <c r="H22" s="132">
        <f>[3]DHL_Mesa!$IO$53</f>
        <v>0</v>
      </c>
      <c r="I22" s="132">
        <f>[3]Encore!$IO$53</f>
        <v>0</v>
      </c>
      <c r="J22" s="132">
        <f>[3]FedEx!$IO$53</f>
        <v>0</v>
      </c>
      <c r="K22" s="132">
        <f>[3]IFL!$IO$53</f>
        <v>0</v>
      </c>
      <c r="L22" s="132">
        <f>[3]DHL_Kalitta!$IO$53</f>
        <v>0</v>
      </c>
      <c r="M22" s="95">
        <f>'[3]Mountain Cargo'!$IO$53</f>
        <v>6158</v>
      </c>
      <c r="N22" s="132">
        <f>[3]DHL_Amerijet!$IO$53</f>
        <v>0</v>
      </c>
      <c r="O22" s="132">
        <f>[3]DHL_Swift!$IO$53</f>
        <v>0</v>
      </c>
      <c r="P22" s="132">
        <f>+'[3]Sun Country Cargo'!$IO$53</f>
        <v>0</v>
      </c>
      <c r="Q22" s="132">
        <f>[3]UPS!$IO$53</f>
        <v>45735</v>
      </c>
      <c r="R22" s="95">
        <f>'[3]Misc Cargo'!$IO$53</f>
        <v>0</v>
      </c>
      <c r="S22" s="368">
        <f>SUM(B22:E22)+SUM(G22:R22)</f>
        <v>51893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75</v>
      </c>
      <c r="C23" s="223">
        <f>SUM(C21:C22)</f>
        <v>27068</v>
      </c>
      <c r="D23" s="223">
        <f t="shared" ref="D23:E23" si="11">SUM(D21:D22)</f>
        <v>203526</v>
      </c>
      <c r="E23" s="223">
        <f t="shared" si="11"/>
        <v>53712</v>
      </c>
      <c r="F23" s="462"/>
      <c r="G23" s="223">
        <f t="shared" ref="G23:R23" si="12">SUM(G21:G22)</f>
        <v>0</v>
      </c>
      <c r="H23" s="223">
        <f t="shared" ref="H23" si="13">SUM(H21:H22)</f>
        <v>293075</v>
      </c>
      <c r="I23" s="223">
        <f t="shared" si="12"/>
        <v>0</v>
      </c>
      <c r="J23" s="223">
        <f t="shared" si="12"/>
        <v>5900797</v>
      </c>
      <c r="K23" s="223">
        <f t="shared" si="12"/>
        <v>0</v>
      </c>
      <c r="L23" s="223">
        <f t="shared" si="12"/>
        <v>25141</v>
      </c>
      <c r="M23" s="224">
        <f t="shared" si="12"/>
        <v>6158</v>
      </c>
      <c r="N23" s="223">
        <f t="shared" si="12"/>
        <v>0</v>
      </c>
      <c r="O23" s="223">
        <f t="shared" si="12"/>
        <v>134079</v>
      </c>
      <c r="P23" s="223">
        <f t="shared" si="12"/>
        <v>3139643</v>
      </c>
      <c r="Q23" s="223">
        <f t="shared" si="12"/>
        <v>4195398</v>
      </c>
      <c r="R23" s="224">
        <f t="shared" si="12"/>
        <v>0</v>
      </c>
      <c r="S23" s="380">
        <f>SUM(B23:D23)+SUM(G23:R23)</f>
        <v>13924960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62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62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Air'!$IO$57</f>
        <v>0</v>
      </c>
      <c r="C26" s="132">
        <f>[3]DHL!$IO$57</f>
        <v>0</v>
      </c>
      <c r="D26" s="132">
        <f>[3]Airborne!$IO$57</f>
        <v>0</v>
      </c>
      <c r="E26" s="132">
        <f>[3]DHL_Bemidji!$IO$57</f>
        <v>0</v>
      </c>
      <c r="F26" s="462"/>
      <c r="G26" s="132">
        <f>[3]DHL_Encore!$IO$57</f>
        <v>0</v>
      </c>
      <c r="H26" s="132">
        <f>[3]DHL_Mesa!$IO$57</f>
        <v>0</v>
      </c>
      <c r="I26" s="132">
        <f>[3]Encore!$IO$57</f>
        <v>0</v>
      </c>
      <c r="J26" s="132">
        <f>[3]FedEx!$IO$57</f>
        <v>0</v>
      </c>
      <c r="K26" s="132">
        <f>[3]IFL!$IO$57</f>
        <v>0</v>
      </c>
      <c r="L26" s="132">
        <f>[3]DHL_Kalitta!$IO$57</f>
        <v>0</v>
      </c>
      <c r="M26" s="95">
        <f>'[3]Mountain Cargo'!$IO$57</f>
        <v>0</v>
      </c>
      <c r="N26" s="132">
        <f>[3]DHL_Amerijet!$IO$57</f>
        <v>0</v>
      </c>
      <c r="O26" s="132">
        <f>[3]DHL_Swift!$IO$57</f>
        <v>0</v>
      </c>
      <c r="P26" s="132">
        <f>+'[3]Sun Country Cargo'!$IO$57</f>
        <v>0</v>
      </c>
      <c r="Q26" s="132">
        <f>[3]UPS!$IO$57</f>
        <v>0</v>
      </c>
      <c r="R26" s="95">
        <f>'[3]Misc Cargo'!$IO$57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Air'!$IO$58</f>
        <v>0</v>
      </c>
      <c r="C27" s="132">
        <f>[3]DHL!$IO$58</f>
        <v>0</v>
      </c>
      <c r="D27" s="132">
        <f>[3]Airborne!$IO$58</f>
        <v>0</v>
      </c>
      <c r="E27" s="132">
        <f>[3]DHL_Bemidji!$IO$58</f>
        <v>0</v>
      </c>
      <c r="F27" s="462"/>
      <c r="G27" s="132">
        <f>[3]DHL_Encore!$IO$58</f>
        <v>0</v>
      </c>
      <c r="H27" s="132">
        <f>[3]DHL_Mesa!$IO$58</f>
        <v>0</v>
      </c>
      <c r="I27" s="132">
        <f>[3]Encore!$IO$58</f>
        <v>0</v>
      </c>
      <c r="J27" s="132">
        <f>[3]FedEx!$IO$58</f>
        <v>0</v>
      </c>
      <c r="K27" s="132">
        <f>[3]IFL!$IO$58</f>
        <v>0</v>
      </c>
      <c r="L27" s="132">
        <f>[3]DHL_Kalitta!$IO$58</f>
        <v>0</v>
      </c>
      <c r="M27" s="95">
        <f>'[3]Mountain Cargo'!$IO$58</f>
        <v>0</v>
      </c>
      <c r="N27" s="132">
        <f>[3]DHL_Amerijet!$IO$58</f>
        <v>0</v>
      </c>
      <c r="O27" s="132">
        <f>[3]DHL_Swift!$IO$58</f>
        <v>0</v>
      </c>
      <c r="P27" s="132">
        <f>+'[3]Sun Country Cargo'!$IO$58</f>
        <v>0</v>
      </c>
      <c r="Q27" s="132">
        <f>[3]UPS!$IO$58</f>
        <v>0</v>
      </c>
      <c r="R27" s="95">
        <f>'[3]Misc Cargo'!$IO$58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62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62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62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35040</v>
      </c>
      <c r="C31" s="132">
        <f t="shared" ref="C31:R33" si="17">C26+C21+C16</f>
        <v>73506</v>
      </c>
      <c r="D31" s="132">
        <f t="shared" si="17"/>
        <v>374436</v>
      </c>
      <c r="E31" s="132">
        <f t="shared" si="17"/>
        <v>104633</v>
      </c>
      <c r="F31" s="462"/>
      <c r="G31" s="132">
        <f t="shared" ref="G31:P33" si="18">G26+G21+G16</f>
        <v>0</v>
      </c>
      <c r="H31" s="132">
        <f t="shared" ref="H31" si="19">H26+H21+H16</f>
        <v>704691</v>
      </c>
      <c r="I31" s="132">
        <f t="shared" si="18"/>
        <v>0</v>
      </c>
      <c r="J31" s="132">
        <f t="shared" si="18"/>
        <v>13089154</v>
      </c>
      <c r="K31" s="132">
        <f t="shared" si="18"/>
        <v>70772</v>
      </c>
      <c r="L31" s="132">
        <f t="shared" si="18"/>
        <v>52956</v>
      </c>
      <c r="M31" s="95">
        <f>M26+M21+M16</f>
        <v>0</v>
      </c>
      <c r="N31" s="132">
        <f t="shared" si="18"/>
        <v>0</v>
      </c>
      <c r="O31" s="132">
        <f t="shared" si="18"/>
        <v>330275</v>
      </c>
      <c r="P31" s="132">
        <f t="shared" si="18"/>
        <v>6310272</v>
      </c>
      <c r="Q31" s="132">
        <f t="shared" si="17"/>
        <v>9552811</v>
      </c>
      <c r="R31" s="95">
        <f>R26+R21+R16</f>
        <v>150</v>
      </c>
      <c r="S31" s="368">
        <f>SUM(B31:E31)+SUM(G31:R31)</f>
        <v>30698696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3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19002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116400</v>
      </c>
      <c r="R32" s="95">
        <f>R27+R22+R17</f>
        <v>0</v>
      </c>
      <c r="S32" s="368">
        <f>SUM(B32:E32)+SUM(G32:R32)</f>
        <v>135402</v>
      </c>
    </row>
    <row r="33" spans="1:19" ht="18" customHeight="1" thickBot="1" x14ac:dyDescent="0.25">
      <c r="A33" s="160" t="s">
        <v>46</v>
      </c>
      <c r="B33" s="373">
        <f>B28+B23+B18</f>
        <v>35040</v>
      </c>
      <c r="C33" s="161">
        <f t="shared" ref="C33:I33" si="21">C28+C23+C18</f>
        <v>73506</v>
      </c>
      <c r="D33" s="161">
        <f t="shared" si="21"/>
        <v>374436</v>
      </c>
      <c r="E33" s="161">
        <f t="shared" si="21"/>
        <v>104633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704691</v>
      </c>
      <c r="I33" s="161">
        <f t="shared" si="21"/>
        <v>0</v>
      </c>
      <c r="J33" s="161">
        <f t="shared" si="18"/>
        <v>13089154</v>
      </c>
      <c r="K33" s="161">
        <f t="shared" si="18"/>
        <v>70772</v>
      </c>
      <c r="L33" s="161">
        <f t="shared" si="18"/>
        <v>52956</v>
      </c>
      <c r="M33" s="162">
        <f>M28+M23+M18</f>
        <v>19002</v>
      </c>
      <c r="N33" s="161">
        <f t="shared" si="18"/>
        <v>0</v>
      </c>
      <c r="O33" s="161">
        <f t="shared" si="18"/>
        <v>330275</v>
      </c>
      <c r="P33" s="161">
        <f t="shared" si="17"/>
        <v>6310272</v>
      </c>
      <c r="Q33" s="161">
        <f t="shared" si="17"/>
        <v>9669211</v>
      </c>
      <c r="R33" s="162">
        <f t="shared" si="17"/>
        <v>150</v>
      </c>
      <c r="S33" s="374">
        <f>SUM(B33:E33)+SUM(G33:R33)</f>
        <v>30834098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October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15" sqref="E1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45200</v>
      </c>
      <c r="B2" s="57" t="s">
        <v>213</v>
      </c>
      <c r="C2" s="57" t="s">
        <v>63</v>
      </c>
      <c r="D2" s="57" t="s">
        <v>64</v>
      </c>
      <c r="E2" s="236" t="s">
        <v>74</v>
      </c>
      <c r="F2" s="58" t="s">
        <v>237</v>
      </c>
      <c r="G2" s="58" t="s">
        <v>223</v>
      </c>
      <c r="H2" s="59" t="s">
        <v>65</v>
      </c>
      <c r="I2" s="60" t="s">
        <v>229</v>
      </c>
      <c r="J2" s="60" t="s">
        <v>221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4816083</v>
      </c>
      <c r="C5" s="95">
        <f>'Regional Major'!M25</f>
        <v>30571.599999999999</v>
      </c>
      <c r="D5" s="95">
        <f>Cargo!S16</f>
        <v>16771917</v>
      </c>
      <c r="E5" s="95">
        <f>SUM(B5:D5)</f>
        <v>21618571.600000001</v>
      </c>
      <c r="F5" s="95">
        <f>E5*0.00045359237</f>
        <v>9806.0191280586932</v>
      </c>
      <c r="G5" s="95">
        <f>'[1]Cargo Summary'!F5</f>
        <v>9294.7236397384604</v>
      </c>
      <c r="H5" s="77">
        <f>(F5-G5)/G5</f>
        <v>5.500921900832545E-2</v>
      </c>
      <c r="I5" s="95">
        <f>+'[2]Cargo Summary'!I5+F5</f>
        <v>87912.259304256761</v>
      </c>
      <c r="J5" s="95">
        <f>+'[1]Cargo Summary'!I5</f>
        <v>95191.392540466826</v>
      </c>
      <c r="K5" s="65">
        <f>(I5-J5)/J5</f>
        <v>-7.6468397424857851E-2</v>
      </c>
      <c r="M5" s="13"/>
      <c r="O5" s="400"/>
    </row>
    <row r="6" spans="1:18" x14ac:dyDescent="0.2">
      <c r="A6" s="45" t="s">
        <v>16</v>
      </c>
      <c r="B6" s="139">
        <f>'Major Airline Stats'!K29</f>
        <v>2369286</v>
      </c>
      <c r="C6" s="95">
        <f>'Regional Major'!M26</f>
        <v>0</v>
      </c>
      <c r="D6" s="95">
        <f>Cargo!S17</f>
        <v>83509</v>
      </c>
      <c r="E6" s="95">
        <f>SUM(B6:D6)</f>
        <v>2452795</v>
      </c>
      <c r="F6" s="95">
        <f>E6*0.00045359237</f>
        <v>1112.5690971741499</v>
      </c>
      <c r="G6" s="95">
        <f>'[1]Cargo Summary'!F6</f>
        <v>1071.4627422352701</v>
      </c>
      <c r="H6" s="3">
        <f>(F6-G6)/G6</f>
        <v>3.83647077201437E-2</v>
      </c>
      <c r="I6" s="95">
        <f>+'[2]Cargo Summary'!I6+F6</f>
        <v>6226.2206982567895</v>
      </c>
      <c r="J6" s="95">
        <f>+'[1]Cargo Summary'!I6</f>
        <v>14011.744547053328</v>
      </c>
      <c r="K6" s="65">
        <f>(I6-J6)/J6</f>
        <v>-0.55564271976638591</v>
      </c>
      <c r="M6" s="13"/>
    </row>
    <row r="7" spans="1:18" ht="18" customHeight="1" thickBot="1" x14ac:dyDescent="0.25">
      <c r="A7" s="54" t="s">
        <v>71</v>
      </c>
      <c r="B7" s="141">
        <f>SUM(B5:B6)</f>
        <v>7185369</v>
      </c>
      <c r="C7" s="105">
        <f t="shared" ref="C7:J7" si="0">SUM(C5:C6)</f>
        <v>30571.599999999999</v>
      </c>
      <c r="D7" s="105">
        <f t="shared" si="0"/>
        <v>16855426</v>
      </c>
      <c r="E7" s="105">
        <f t="shared" si="0"/>
        <v>24071366.600000001</v>
      </c>
      <c r="F7" s="105">
        <f t="shared" si="0"/>
        <v>10918.588225232843</v>
      </c>
      <c r="G7" s="105">
        <f t="shared" si="0"/>
        <v>10366.18638197373</v>
      </c>
      <c r="H7" s="28">
        <f>(F7-G7)/G7</f>
        <v>5.3288820295543937E-2</v>
      </c>
      <c r="I7" s="105">
        <f t="shared" si="0"/>
        <v>94138.480002513548</v>
      </c>
      <c r="J7" s="105">
        <f t="shared" si="0"/>
        <v>109203.13708752015</v>
      </c>
      <c r="K7" s="238">
        <f>(I7-J7)/J7</f>
        <v>-0.13795077217363391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694983</v>
      </c>
      <c r="C10" s="95">
        <f>'Regional Major'!M30</f>
        <v>2653.9</v>
      </c>
      <c r="D10" s="95">
        <f>Cargo!S21</f>
        <v>13926779</v>
      </c>
      <c r="E10" s="95">
        <f>SUM(B10:D10)</f>
        <v>14624415.9</v>
      </c>
      <c r="F10" s="95">
        <f>E10*0.00045359237</f>
        <v>6633.523467946683</v>
      </c>
      <c r="G10" s="95">
        <f>'[1]Cargo Summary'!F10</f>
        <v>8376.9574969310997</v>
      </c>
      <c r="H10" s="3">
        <f>(F10-G10)/G10</f>
        <v>-0.20812258264687677</v>
      </c>
      <c r="I10" s="95">
        <f>+'[2]Cargo Summary'!I10+F10</f>
        <v>69628.081504159331</v>
      </c>
      <c r="J10" s="95">
        <f>+'[1]Cargo Summary'!I10</f>
        <v>76502.301812799327</v>
      </c>
      <c r="K10" s="65">
        <f>(I10-J10)/J10</f>
        <v>-8.9856385308002523E-2</v>
      </c>
      <c r="M10" s="13"/>
      <c r="O10" s="400"/>
    </row>
    <row r="11" spans="1:18" x14ac:dyDescent="0.2">
      <c r="A11" s="45" t="s">
        <v>16</v>
      </c>
      <c r="B11" s="139">
        <f>'Major Airline Stats'!K34</f>
        <v>452826</v>
      </c>
      <c r="C11" s="95">
        <f>'Regional Major'!M31</f>
        <v>0</v>
      </c>
      <c r="D11" s="95">
        <f>Cargo!S22</f>
        <v>51893</v>
      </c>
      <c r="E11" s="95">
        <f>SUM(B11:D11)</f>
        <v>504719</v>
      </c>
      <c r="F11" s="95">
        <f>E11*0.00045359237</f>
        <v>228.93668739403</v>
      </c>
      <c r="G11" s="95">
        <f>'[1]Cargo Summary'!F11</f>
        <v>925.16468795442995</v>
      </c>
      <c r="H11" s="25">
        <f>(F11-G11)/G11</f>
        <v>-0.75254493564792602</v>
      </c>
      <c r="I11" s="95">
        <f>+'[2]Cargo Summary'!I11+F11</f>
        <v>4144.9307057989599</v>
      </c>
      <c r="J11" s="95">
        <f>+'[1]Cargo Summary'!I11</f>
        <v>10787.781166853767</v>
      </c>
      <c r="K11" s="65">
        <f>(I11-J11)/J11</f>
        <v>-0.61577541834695748</v>
      </c>
      <c r="M11" s="13"/>
    </row>
    <row r="12" spans="1:18" ht="18" customHeight="1" thickBot="1" x14ac:dyDescent="0.25">
      <c r="A12" s="54" t="s">
        <v>72</v>
      </c>
      <c r="B12" s="141">
        <f>SUM(B10:B11)</f>
        <v>1147809</v>
      </c>
      <c r="C12" s="105">
        <f t="shared" ref="C12:J12" si="1">SUM(C10:C11)</f>
        <v>2653.9</v>
      </c>
      <c r="D12" s="105">
        <f t="shared" si="1"/>
        <v>13978672</v>
      </c>
      <c r="E12" s="105">
        <f t="shared" si="1"/>
        <v>15129134.9</v>
      </c>
      <c r="F12" s="105">
        <f t="shared" si="1"/>
        <v>6862.4601553407128</v>
      </c>
      <c r="G12" s="105">
        <f t="shared" si="1"/>
        <v>9302.1221848855294</v>
      </c>
      <c r="H12" s="28">
        <f>(F12-G12)/G12</f>
        <v>-0.26226940272929111</v>
      </c>
      <c r="I12" s="105">
        <f>SUM(I10:I11)</f>
        <v>73773.012209958295</v>
      </c>
      <c r="J12" s="105">
        <f t="shared" si="1"/>
        <v>87290.082979653089</v>
      </c>
      <c r="K12" s="238">
        <f>(I12-J12)/J12</f>
        <v>-0.15485230748200296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5511066</v>
      </c>
      <c r="C20" s="95">
        <f t="shared" si="3"/>
        <v>33225.5</v>
      </c>
      <c r="D20" s="95">
        <f t="shared" si="3"/>
        <v>30698696</v>
      </c>
      <c r="E20" s="95">
        <f>SUM(B20:D20)</f>
        <v>36242987.5</v>
      </c>
      <c r="F20" s="95">
        <f>E20*0.00045359237</f>
        <v>16439.542596005376</v>
      </c>
      <c r="G20" s="95">
        <f>'[1]Cargo Summary'!F20</f>
        <v>17671.681136669558</v>
      </c>
      <c r="H20" s="3">
        <f>(F20-G20)/G20</f>
        <v>-6.9723900693717103E-2</v>
      </c>
      <c r="I20" s="95">
        <f>+'[2]Cargo Summary'!I20+F20</f>
        <v>157540.34080841611</v>
      </c>
      <c r="J20" s="95">
        <f>+'[1]Cargo Summary'!I20</f>
        <v>171693.69435326618</v>
      </c>
      <c r="K20" s="65">
        <f>(I20-J20)/J20</f>
        <v>-8.2433741076879757E-2</v>
      </c>
      <c r="M20" s="13"/>
    </row>
    <row r="21" spans="1:13" x14ac:dyDescent="0.2">
      <c r="A21" s="45" t="s">
        <v>16</v>
      </c>
      <c r="B21" s="139">
        <f t="shared" si="3"/>
        <v>2822112</v>
      </c>
      <c r="C21" s="96">
        <f t="shared" si="3"/>
        <v>0</v>
      </c>
      <c r="D21" s="96">
        <f t="shared" si="3"/>
        <v>135402</v>
      </c>
      <c r="E21" s="95">
        <f>SUM(B21:D21)</f>
        <v>2957514</v>
      </c>
      <c r="F21" s="95">
        <f>E21*0.00045359237</f>
        <v>1341.5057845681799</v>
      </c>
      <c r="G21" s="95">
        <f>'[1]Cargo Summary'!F21</f>
        <v>1996.6274301896999</v>
      </c>
      <c r="H21" s="3">
        <f>(F21-G21)/G21</f>
        <v>-0.32811411669290586</v>
      </c>
      <c r="I21" s="95">
        <f>+'[2]Cargo Summary'!I21+F21</f>
        <v>10371.15140405575</v>
      </c>
      <c r="J21" s="95">
        <f>+'[1]Cargo Summary'!I21</f>
        <v>24799.5257139071</v>
      </c>
      <c r="K21" s="65">
        <f>(I21-J21)/J21</f>
        <v>-0.5818004132942024</v>
      </c>
      <c r="M21" s="13"/>
    </row>
    <row r="22" spans="1:13" ht="18" customHeight="1" thickBot="1" x14ac:dyDescent="0.25">
      <c r="A22" s="67" t="s">
        <v>62</v>
      </c>
      <c r="B22" s="142">
        <f>SUM(B20:B21)</f>
        <v>8333178</v>
      </c>
      <c r="C22" s="143">
        <f t="shared" ref="C22:J22" si="4">SUM(C20:C21)</f>
        <v>33225.5</v>
      </c>
      <c r="D22" s="143">
        <f t="shared" si="4"/>
        <v>30834098</v>
      </c>
      <c r="E22" s="143">
        <f t="shared" si="4"/>
        <v>39200501.5</v>
      </c>
      <c r="F22" s="143">
        <f t="shared" si="4"/>
        <v>17781.048380573557</v>
      </c>
      <c r="G22" s="143">
        <f t="shared" si="4"/>
        <v>19668.308566859258</v>
      </c>
      <c r="H22" s="244">
        <f>(F22-G22)/G22</f>
        <v>-9.5954371463629562E-2</v>
      </c>
      <c r="I22" s="143">
        <f>SUM(I20:I21)</f>
        <v>167911.49221247184</v>
      </c>
      <c r="J22" s="143">
        <f t="shared" si="4"/>
        <v>196493.22006717327</v>
      </c>
      <c r="K22" s="245">
        <f>(I22-J22)/J22</f>
        <v>-0.14545910461913375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October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J12" sqref="J12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70" t="s">
        <v>182</v>
      </c>
      <c r="B2" s="471"/>
      <c r="C2" s="336" t="s">
        <v>231</v>
      </c>
      <c r="D2" s="337" t="s">
        <v>224</v>
      </c>
      <c r="E2" s="394" t="s">
        <v>95</v>
      </c>
      <c r="F2" s="339" t="s">
        <v>232</v>
      </c>
      <c r="G2" s="337" t="s">
        <v>225</v>
      </c>
      <c r="H2" s="395" t="s">
        <v>96</v>
      </c>
      <c r="I2" s="338" t="s">
        <v>135</v>
      </c>
      <c r="J2" s="470" t="s">
        <v>178</v>
      </c>
      <c r="K2" s="471"/>
      <c r="L2" s="336" t="s">
        <v>241</v>
      </c>
      <c r="M2" s="337" t="s">
        <v>242</v>
      </c>
      <c r="N2" s="394" t="s">
        <v>95</v>
      </c>
      <c r="O2" s="339" t="s">
        <v>243</v>
      </c>
      <c r="P2" s="337" t="s">
        <v>244</v>
      </c>
      <c r="Q2" s="395" t="s">
        <v>96</v>
      </c>
      <c r="R2" s="338" t="s">
        <v>135</v>
      </c>
      <c r="T2" s="392"/>
    </row>
    <row r="3" spans="1:20" s="9" customFormat="1" ht="13.5" customHeight="1" thickBot="1" x14ac:dyDescent="0.25">
      <c r="A3" s="472">
        <v>45200</v>
      </c>
      <c r="B3" s="473"/>
      <c r="C3" s="474" t="s">
        <v>9</v>
      </c>
      <c r="D3" s="475"/>
      <c r="E3" s="475"/>
      <c r="F3" s="475"/>
      <c r="G3" s="475"/>
      <c r="H3" s="476"/>
      <c r="I3" s="365"/>
      <c r="J3" s="472">
        <f>+A3</f>
        <v>45200</v>
      </c>
      <c r="K3" s="473"/>
      <c r="L3" s="467" t="s">
        <v>179</v>
      </c>
      <c r="M3" s="468"/>
      <c r="N3" s="468"/>
      <c r="O3" s="468"/>
      <c r="P3" s="468"/>
      <c r="Q3" s="468"/>
      <c r="R3" s="469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202</v>
      </c>
      <c r="B5" s="39"/>
      <c r="C5" s="382">
        <f>SUM(C6:C7)</f>
        <v>244</v>
      </c>
      <c r="D5" s="382">
        <f>SUM(D6:D7)</f>
        <v>129</v>
      </c>
      <c r="E5" s="383">
        <f>(C5-D5)/D5</f>
        <v>0.89147286821705429</v>
      </c>
      <c r="F5" s="382">
        <f>SUM(F6:F7)</f>
        <v>1855</v>
      </c>
      <c r="G5" s="382">
        <f>SUM(G6:G7)</f>
        <v>1435</v>
      </c>
      <c r="H5" s="384">
        <f>(F5-G5)/G5</f>
        <v>0.29268292682926828</v>
      </c>
      <c r="I5" s="383">
        <f>+F5/$F$34</f>
        <v>0.16017615059148604</v>
      </c>
      <c r="J5" s="258" t="s">
        <v>202</v>
      </c>
      <c r="K5" s="39"/>
      <c r="L5" s="382">
        <f>SUM(L6:L7)</f>
        <v>6345312</v>
      </c>
      <c r="M5" s="382">
        <f>SUM(M6:M7)</f>
        <v>5590377</v>
      </c>
      <c r="N5" s="383">
        <f>(L5-M5)/M5</f>
        <v>0.13504187642443435</v>
      </c>
      <c r="O5" s="382">
        <f>SUM(O6:O7)</f>
        <v>53959799</v>
      </c>
      <c r="P5" s="382">
        <f>SUM(P6:P7)</f>
        <v>56680277</v>
      </c>
      <c r="Q5" s="384">
        <f>(O5-P5)/P5</f>
        <v>-4.7996907283992279E-2</v>
      </c>
      <c r="R5" s="383">
        <f>O5/$O$34</f>
        <v>0.18007193473434605</v>
      </c>
      <c r="T5" s="391"/>
    </row>
    <row r="6" spans="1:20" ht="14.1" customHeight="1" x14ac:dyDescent="0.2">
      <c r="A6" s="37"/>
      <c r="B6" s="318" t="s">
        <v>203</v>
      </c>
      <c r="C6" s="322">
        <f>+'[3]Atlas Air'!$IO$19</f>
        <v>4</v>
      </c>
      <c r="D6" s="217">
        <f>+'[3]Atlas Air'!$IA$19</f>
        <v>64</v>
      </c>
      <c r="E6" s="324">
        <f>(C6-D6)/D6</f>
        <v>-0.9375</v>
      </c>
      <c r="F6" s="322">
        <f>+SUM('[3]Atlas Air'!$IF$19:$IO$19)</f>
        <v>332</v>
      </c>
      <c r="G6" s="217">
        <f>+SUM('[3]Atlas Air'!$HR$19:$IA$19)</f>
        <v>608</v>
      </c>
      <c r="H6" s="323">
        <f>(F6-G6)/G6</f>
        <v>-0.45394736842105265</v>
      </c>
      <c r="I6" s="324">
        <f>+F6/$F$34</f>
        <v>2.8667645281063813E-2</v>
      </c>
      <c r="J6" s="37"/>
      <c r="K6" s="318" t="s">
        <v>203</v>
      </c>
      <c r="L6" s="322">
        <f>+'[3]Atlas Air'!$IO$64</f>
        <v>35040</v>
      </c>
      <c r="M6" s="217">
        <f>+'[3]Atlas Air'!$IA$64</f>
        <v>4203543</v>
      </c>
      <c r="N6" s="324">
        <f>(L6-M6)/M6</f>
        <v>-0.99166417472118162</v>
      </c>
      <c r="O6" s="217">
        <f>+SUM('[3]Atlas Air'!$IF$64:$IO$64)</f>
        <v>15627114</v>
      </c>
      <c r="P6" s="217">
        <f>+SUM('[3]Atlas Air'!$HR$64:$IA$64)</f>
        <v>34622449</v>
      </c>
      <c r="Q6" s="323">
        <f>(O6-P6)/P6</f>
        <v>-0.54864215411220618</v>
      </c>
      <c r="R6" s="324">
        <f>O6/$O$34</f>
        <v>5.2150021023877148E-2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Cargo'!$IO$19</f>
        <v>240</v>
      </c>
      <c r="D7" s="217">
        <f>+'[3]Sun Country Cargo'!$IA$19</f>
        <v>65</v>
      </c>
      <c r="E7" s="324">
        <f>(C7-D7)/D7</f>
        <v>2.6923076923076925</v>
      </c>
      <c r="F7" s="322">
        <f>+SUM('[3]Sun Country Cargo'!$IF$19:$IO$19)</f>
        <v>1523</v>
      </c>
      <c r="G7" s="217">
        <f>+SUM('[3]Sun Country Cargo'!$HR$19:$IA$19)</f>
        <v>827</v>
      </c>
      <c r="H7" s="323">
        <f>(F7-G7)/G7</f>
        <v>0.84159613059250304</v>
      </c>
      <c r="I7" s="324">
        <f>+F7/$F$34</f>
        <v>0.13150850531042224</v>
      </c>
      <c r="J7" s="37"/>
      <c r="K7" s="318" t="s">
        <v>49</v>
      </c>
      <c r="L7" s="322">
        <f>+'[3]Sun Country Cargo'!$IO$64</f>
        <v>6310272</v>
      </c>
      <c r="M7" s="217">
        <f>+'[3]Sun Country Cargo'!$IA$64</f>
        <v>1386834</v>
      </c>
      <c r="N7" s="324">
        <f>(L7-M7)/M7</f>
        <v>3.5501278451494556</v>
      </c>
      <c r="O7" s="217">
        <f>+SUM('[3]Sun Country Cargo'!$IF$64:$IO$64)</f>
        <v>38332685</v>
      </c>
      <c r="P7" s="217">
        <f>+SUM('[3]Sun Country Cargo'!$HR$64:$IA$64)</f>
        <v>22057828</v>
      </c>
      <c r="Q7" s="323">
        <f>(O7-P7)/P7</f>
        <v>0.73782681594942168</v>
      </c>
      <c r="R7" s="324">
        <f>O7/$O$34</f>
        <v>0.12792191371046888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204</v>
      </c>
      <c r="B9" s="39"/>
      <c r="C9" s="382">
        <f>SUM(C10:C18)</f>
        <v>134</v>
      </c>
      <c r="D9" s="382">
        <f>SUM(D10:D18)</f>
        <v>168</v>
      </c>
      <c r="E9" s="383">
        <f>(C9-D9)/D9</f>
        <v>-0.20238095238095238</v>
      </c>
      <c r="F9" s="382">
        <f>SUM(F10:F18)</f>
        <v>1378</v>
      </c>
      <c r="G9" s="382">
        <f>SUM(G10:G18)</f>
        <v>1540</v>
      </c>
      <c r="H9" s="384">
        <f>(F9-G9)/G9</f>
        <v>-0.10519480519480519</v>
      </c>
      <c r="I9" s="383">
        <f t="shared" ref="I9:I18" si="0">+F9/$F$34</f>
        <v>0.11898799758224678</v>
      </c>
      <c r="J9" s="258" t="s">
        <v>204</v>
      </c>
      <c r="K9" s="39"/>
      <c r="L9" s="382">
        <f>SUM(L10:L18)</f>
        <v>1640497</v>
      </c>
      <c r="M9" s="382">
        <f>SUM(M10:M18)</f>
        <v>1424387</v>
      </c>
      <c r="N9" s="383">
        <f t="shared" ref="N9:N18" si="1">(L9-M9)/M9</f>
        <v>0.15172140717375263</v>
      </c>
      <c r="O9" s="382">
        <f>SUM(O10:O18)</f>
        <v>14721557</v>
      </c>
      <c r="P9" s="382">
        <f>SUM(P10:P18)</f>
        <v>16407027</v>
      </c>
      <c r="Q9" s="384">
        <f t="shared" ref="Q9:Q18" si="2">(O9-P9)/P9</f>
        <v>-0.10272854429995147</v>
      </c>
      <c r="R9" s="383">
        <f t="shared" ref="R9:R18" si="3">O9/$O$34</f>
        <v>4.9128041623949618E-2</v>
      </c>
      <c r="T9" s="391"/>
    </row>
    <row r="10" spans="1:20" ht="14.1" customHeight="1" x14ac:dyDescent="0.2">
      <c r="A10" s="258"/>
      <c r="B10" s="318" t="s">
        <v>205</v>
      </c>
      <c r="C10" s="322">
        <f>+[3]Airborne!$IO$19</f>
        <v>8</v>
      </c>
      <c r="D10" s="217">
        <f>+[3]Airborne!$IA$19</f>
        <v>0</v>
      </c>
      <c r="E10" s="324" t="e">
        <f>(C10-D10)/D10</f>
        <v>#DIV/0!</v>
      </c>
      <c r="F10" s="322">
        <f>+SUM([3]Airborne!$IF$19:$IO$19)</f>
        <v>44</v>
      </c>
      <c r="G10" s="217">
        <f>+SUM([3]Airborne!$HR$19:$IA$19)</f>
        <v>12</v>
      </c>
      <c r="H10" s="323">
        <f>(F10-G10)/G10</f>
        <v>2.6666666666666665</v>
      </c>
      <c r="I10" s="324">
        <f t="shared" si="0"/>
        <v>3.7993264830325532E-3</v>
      </c>
      <c r="J10" s="258"/>
      <c r="K10" s="318" t="s">
        <v>205</v>
      </c>
      <c r="L10" s="322">
        <f>+[3]Airborne!$IO$64</f>
        <v>374436</v>
      </c>
      <c r="M10" s="217">
        <f>+[3]Airborne!$IA$64</f>
        <v>0</v>
      </c>
      <c r="N10" s="324" t="e">
        <f t="shared" si="1"/>
        <v>#DIV/0!</v>
      </c>
      <c r="O10" s="322">
        <f>+SUM([3]Airborne!$IF$64:$IO$64)</f>
        <v>1351776</v>
      </c>
      <c r="P10" s="217">
        <f>+SUM([3]Airborne!$HR$64:$IA$64)</f>
        <v>352522</v>
      </c>
      <c r="Q10" s="323">
        <f t="shared" si="2"/>
        <v>2.8345862102223407</v>
      </c>
      <c r="R10" s="324">
        <f t="shared" si="3"/>
        <v>4.5110790654993979E-3</v>
      </c>
      <c r="T10" s="391"/>
    </row>
    <row r="11" spans="1:20" ht="14.1" customHeight="1" x14ac:dyDescent="0.2">
      <c r="A11" s="258"/>
      <c r="B11" s="39" t="s">
        <v>203</v>
      </c>
      <c r="C11" s="322">
        <f>+[3]DHL_Atlas!$IO$19</f>
        <v>0</v>
      </c>
      <c r="D11" s="217">
        <f>+[3]DHL_Atlas!$IA$19</f>
        <v>0</v>
      </c>
      <c r="E11" s="324" t="e">
        <f t="shared" ref="E11:E18" si="4">(C11-D11)/D11</f>
        <v>#DIV/0!</v>
      </c>
      <c r="F11" s="322">
        <f>+SUM([3]DHL_Atlas!$IF$19:$IO$19)</f>
        <v>0</v>
      </c>
      <c r="G11" s="217">
        <f>+SUM([3]DHL_Atlas!$HR$19:$IA$19)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203</v>
      </c>
      <c r="L11" s="322">
        <f>+[3]DHL_Atlas!$IO$64</f>
        <v>0</v>
      </c>
      <c r="M11" s="217">
        <f>+[3]DHL_Atlas!$IA$64</f>
        <v>0</v>
      </c>
      <c r="N11" s="324" t="e">
        <f t="shared" si="1"/>
        <v>#DIV/0!</v>
      </c>
      <c r="O11" s="322">
        <f>+SUM([3]DHL_Atlas!$IF$64:$IO$64)</f>
        <v>0</v>
      </c>
      <c r="P11" s="217">
        <f>+SUM([3]DHL_Atlas!$HR$64:$IA$64)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206</v>
      </c>
      <c r="C12" s="322">
        <f>+[3]DHL!$IO$19</f>
        <v>2</v>
      </c>
      <c r="D12" s="217">
        <f>+[3]DHL!$IA$19</f>
        <v>0</v>
      </c>
      <c r="E12" s="324" t="e">
        <f t="shared" si="4"/>
        <v>#DIV/0!</v>
      </c>
      <c r="F12" s="322">
        <f>+SUM([3]DHL!$IF$19:$IO$19)</f>
        <v>16</v>
      </c>
      <c r="G12" s="217">
        <f>+SUM([3]DHL!$HR$19:$IA$19)</f>
        <v>0</v>
      </c>
      <c r="H12" s="323" t="e">
        <f t="shared" si="5"/>
        <v>#DIV/0!</v>
      </c>
      <c r="I12" s="324">
        <f t="shared" si="0"/>
        <v>1.3815732665572922E-3</v>
      </c>
      <c r="J12" s="258"/>
      <c r="K12" s="39" t="s">
        <v>206</v>
      </c>
      <c r="L12" s="322">
        <f>+[3]DHL!$IO$64</f>
        <v>73506</v>
      </c>
      <c r="M12" s="217">
        <f>+[3]DHL!$IA$64</f>
        <v>0</v>
      </c>
      <c r="N12" s="324" t="e">
        <f t="shared" si="1"/>
        <v>#DIV/0!</v>
      </c>
      <c r="O12" s="322">
        <f>+SUM([3]DHL!$IF$64:$IO$64)</f>
        <v>470609</v>
      </c>
      <c r="P12" s="217">
        <f>+SUM([3]DHL!$HR$64:$IA$64)</f>
        <v>0</v>
      </c>
      <c r="Q12" s="323" t="e">
        <f t="shared" si="2"/>
        <v>#DIV/0!</v>
      </c>
      <c r="R12" s="324">
        <f t="shared" si="3"/>
        <v>1.5704927502305161E-3</v>
      </c>
      <c r="T12" s="391"/>
    </row>
    <row r="13" spans="1:20" ht="14.1" customHeight="1" x14ac:dyDescent="0.2">
      <c r="A13" s="258"/>
      <c r="B13" s="318" t="s">
        <v>83</v>
      </c>
      <c r="C13" s="322">
        <f>+[3]DHL_Bemidji!$IO$19</f>
        <v>80</v>
      </c>
      <c r="D13" s="217">
        <f>+[3]DHL_Bemidji!$IA$19</f>
        <v>82</v>
      </c>
      <c r="E13" s="324">
        <f>(C13-D13)/D13</f>
        <v>-2.4390243902439025E-2</v>
      </c>
      <c r="F13" s="322">
        <f>+SUM([3]DHL_Bemidji!$IF$19:$IO$19)</f>
        <v>742</v>
      </c>
      <c r="G13" s="217">
        <f>+SUM([3]DHL_Bemidji!$HR$19:$IA$19)</f>
        <v>806</v>
      </c>
      <c r="H13" s="323">
        <f t="shared" si="5"/>
        <v>-7.9404466501240695E-2</v>
      </c>
      <c r="I13" s="324">
        <f t="shared" si="0"/>
        <v>6.407046023659442E-2</v>
      </c>
      <c r="J13" s="258"/>
      <c r="K13" s="318" t="s">
        <v>83</v>
      </c>
      <c r="L13" s="322">
        <f>+[3]DHL_Bemidji!$IO$64</f>
        <v>104633</v>
      </c>
      <c r="M13" s="217">
        <f>+[3]DHL_Bemidji!$IA$64</f>
        <v>100964</v>
      </c>
      <c r="N13" s="324">
        <f t="shared" ref="N13" si="6">(L13-M13)/M13</f>
        <v>3.6339685432431365E-2</v>
      </c>
      <c r="O13" s="322">
        <f>+SUM([3]DHL_Bemidji!$IF$64:$IO$64)</f>
        <v>951136</v>
      </c>
      <c r="P13" s="217">
        <f>+SUM([3]DHL_Bemidji!$HR$64:$IA$64)</f>
        <v>1061759</v>
      </c>
      <c r="Q13" s="323">
        <f t="shared" ref="Q13" si="7">(O13-P13)/P13</f>
        <v>-0.10418842694057691</v>
      </c>
      <c r="R13" s="324">
        <f t="shared" si="3"/>
        <v>3.1740833525989776E-3</v>
      </c>
      <c r="T13" s="391"/>
    </row>
    <row r="14" spans="1:20" ht="14.1" customHeight="1" x14ac:dyDescent="0.2">
      <c r="A14" s="258"/>
      <c r="B14" s="39" t="s">
        <v>194</v>
      </c>
      <c r="C14" s="322">
        <f>+[3]Encore!$IO$19+[3]DHL_Encore!$IO$12</f>
        <v>0</v>
      </c>
      <c r="D14" s="217">
        <f>+[3]Encore!$IA$19+[3]DHL_Encore!$IA$19</f>
        <v>0</v>
      </c>
      <c r="E14" s="324" t="e">
        <f t="shared" si="4"/>
        <v>#DIV/0!</v>
      </c>
      <c r="F14" s="322">
        <f>+SUM([3]Encore!$IF$19:$IO$19)+SUM([3]DHL_Encore!$IF$19:$IO$19)</f>
        <v>0</v>
      </c>
      <c r="G14" s="217">
        <f>+SUM([3]Encore!$HR$19:$IA$19)+SUM([3]DHL_Encore!$HR$19:$IA$19)</f>
        <v>34</v>
      </c>
      <c r="H14" s="323">
        <f t="shared" si="5"/>
        <v>-1</v>
      </c>
      <c r="I14" s="324">
        <f t="shared" si="0"/>
        <v>0</v>
      </c>
      <c r="J14" s="258"/>
      <c r="K14" s="39" t="s">
        <v>194</v>
      </c>
      <c r="L14" s="322">
        <f>+[3]Encore!$IO$64+[3]DHL_Encore!$IO$64</f>
        <v>0</v>
      </c>
      <c r="M14" s="217">
        <f>+[3]Encore!$IA$64+[3]DHL_Encore!$IA$64</f>
        <v>0</v>
      </c>
      <c r="N14" s="324" t="e">
        <f t="shared" si="1"/>
        <v>#DIV/0!</v>
      </c>
      <c r="O14" s="322">
        <f>+SUM([3]Encore!$IF$64:$IO$64)+SUM([3]DHL_Encore!$IF$64:$IO$64)</f>
        <v>0</v>
      </c>
      <c r="P14" s="217">
        <f>+SUM([3]Encore!$HR$64:$IA$64)+SUM([3]DHL_Encore!$HR$64:$IA$64)</f>
        <v>769886</v>
      </c>
      <c r="Q14" s="323">
        <f t="shared" si="2"/>
        <v>-1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207</v>
      </c>
      <c r="C15" s="322">
        <f>+[3]DHL_Kalitta!$IO$19</f>
        <v>2</v>
      </c>
      <c r="D15" s="217">
        <f>+[3]DHL_Kalitta!$IA$19</f>
        <v>0</v>
      </c>
      <c r="E15" s="324" t="e">
        <f t="shared" si="4"/>
        <v>#DIV/0!</v>
      </c>
      <c r="F15" s="322">
        <f>+SUM([3]DHL_Kalitta!$IF$19:$IO$19)</f>
        <v>4</v>
      </c>
      <c r="G15" s="217">
        <f>+SUM([3]DHL_Kalitta!$HR$19:$IA$19)</f>
        <v>2</v>
      </c>
      <c r="H15" s="323">
        <f t="shared" si="5"/>
        <v>1</v>
      </c>
      <c r="I15" s="324">
        <f t="shared" si="0"/>
        <v>3.4539331663932304E-4</v>
      </c>
      <c r="J15" s="258"/>
      <c r="K15" s="39" t="s">
        <v>207</v>
      </c>
      <c r="L15" s="322">
        <f>+[3]DHL_Kalitta!$IO$64</f>
        <v>52956</v>
      </c>
      <c r="M15" s="217">
        <f>+[3]DHL_Kalitta!$IA$64</f>
        <v>0</v>
      </c>
      <c r="N15" s="324" t="e">
        <f t="shared" si="1"/>
        <v>#DIV/0!</v>
      </c>
      <c r="O15" s="322">
        <f>+SUM([3]DHL_Kalitta!$IF$64:$IO$64)</f>
        <v>109286</v>
      </c>
      <c r="P15" s="217">
        <f>+SUM([3]DHL_Kalitta!$HR$64:$IA$64)</f>
        <v>43161</v>
      </c>
      <c r="Q15" s="323">
        <f t="shared" si="2"/>
        <v>1.5320544009638331</v>
      </c>
      <c r="R15" s="324">
        <f t="shared" si="3"/>
        <v>3.6470375768778791E-4</v>
      </c>
      <c r="T15" s="391"/>
    </row>
    <row r="16" spans="1:20" ht="14.1" customHeight="1" x14ac:dyDescent="0.2">
      <c r="A16" s="258"/>
      <c r="B16" s="39" t="s">
        <v>51</v>
      </c>
      <c r="C16" s="322">
        <f>+[3]DHL_Mesa!$IO$19</f>
        <v>30</v>
      </c>
      <c r="D16" s="217">
        <f>+[3]DHL_Mesa!$IA$19</f>
        <v>76</v>
      </c>
      <c r="E16" s="324">
        <f t="shared" ref="E16" si="8">(C16-D16)/D16</f>
        <v>-0.60526315789473684</v>
      </c>
      <c r="F16" s="322">
        <f>+SUM([3]DHL_Mesa!$IF$19:$IO$19)</f>
        <v>294</v>
      </c>
      <c r="G16" s="217">
        <f>+SUM([3]DHL_Mesa!$HR$19:$IA$19)</f>
        <v>390</v>
      </c>
      <c r="H16" s="323">
        <f t="shared" ref="H16" si="9">(F16-G16)/G16</f>
        <v>-0.24615384615384617</v>
      </c>
      <c r="I16" s="324">
        <f t="shared" ref="I16" si="10">+F16/$F$34</f>
        <v>2.5386408772990244E-2</v>
      </c>
      <c r="J16" s="258"/>
      <c r="K16" s="39" t="s">
        <v>51</v>
      </c>
      <c r="L16" s="322">
        <f>+[3]DHL_Mesa!$IO$64</f>
        <v>704691</v>
      </c>
      <c r="M16" s="217">
        <f>+[3]DHL_Mesa!$IA$64</f>
        <v>1189952</v>
      </c>
      <c r="N16" s="324">
        <f t="shared" ref="N16" si="11">(L16-M16)/M16</f>
        <v>-0.40779880196848278</v>
      </c>
      <c r="O16" s="322">
        <f>+SUM([3]DHL_Mesa!$IF$64:$IO$64)</f>
        <v>6111052</v>
      </c>
      <c r="P16" s="217">
        <f>+SUM([3]DHL_Mesa!$HR$64:$IA$64)</f>
        <v>6621502</v>
      </c>
      <c r="Q16" s="323">
        <f t="shared" ref="Q16" si="12">(O16-P16)/P16</f>
        <v>-7.7089759997052032E-2</v>
      </c>
      <c r="R16" s="324">
        <f t="shared" ref="R16" si="13">O16/$O$34</f>
        <v>2.0393496219327928E-2</v>
      </c>
      <c r="T16" s="391"/>
    </row>
    <row r="17" spans="1:20" x14ac:dyDescent="0.2">
      <c r="A17" s="258"/>
      <c r="B17" s="39" t="s">
        <v>239</v>
      </c>
      <c r="C17" s="322">
        <f>+[3]DHL_Amerijet!$IO$19</f>
        <v>0</v>
      </c>
      <c r="D17" s="217">
        <f>+[3]DHL_Amerijet!$IA$19</f>
        <v>0</v>
      </c>
      <c r="E17" s="324" t="e">
        <f t="shared" si="4"/>
        <v>#DIV/0!</v>
      </c>
      <c r="F17" s="322">
        <f>+SUM([3]DHL_Amerijet!$IF$19:$IO$19)</f>
        <v>82</v>
      </c>
      <c r="G17" s="217">
        <f>+SUM([3]DHL_Amerijet!$HR$19:$IA$19)</f>
        <v>0</v>
      </c>
      <c r="H17" s="323" t="e">
        <f t="shared" si="5"/>
        <v>#DIV/0!</v>
      </c>
      <c r="I17" s="324">
        <f t="shared" si="0"/>
        <v>7.080562991106122E-3</v>
      </c>
      <c r="J17" s="258"/>
      <c r="K17" s="39" t="s">
        <v>239</v>
      </c>
      <c r="L17" s="322">
        <f>+[3]DHL_Amerijet!$IO$64</f>
        <v>0</v>
      </c>
      <c r="M17" s="217">
        <f>+[3]DHL_Amerijet!$IA$64</f>
        <v>0</v>
      </c>
      <c r="N17" s="324" t="e">
        <f t="shared" si="1"/>
        <v>#DIV/0!</v>
      </c>
      <c r="O17" s="322">
        <f>+SUM([3]DHL_Amerijet!$IF$64:$IO$64)</f>
        <v>2347965</v>
      </c>
      <c r="P17" s="217">
        <f>+SUM([3]DHL_Amerijet!$HR$64:$IA$64)</f>
        <v>0</v>
      </c>
      <c r="Q17" s="323" t="e">
        <f t="shared" si="2"/>
        <v>#DIV/0!</v>
      </c>
      <c r="R17" s="324">
        <f t="shared" si="3"/>
        <v>7.8355110299526652E-3</v>
      </c>
      <c r="T17" s="391"/>
    </row>
    <row r="18" spans="1:20" ht="14.1" customHeight="1" x14ac:dyDescent="0.2">
      <c r="A18" s="258"/>
      <c r="B18" s="39" t="s">
        <v>208</v>
      </c>
      <c r="C18" s="322">
        <f>+[3]DHL_Swift!$IO$19</f>
        <v>12</v>
      </c>
      <c r="D18" s="217">
        <f>+[3]DHL_Swift!$IA$19</f>
        <v>10</v>
      </c>
      <c r="E18" s="324">
        <f t="shared" si="4"/>
        <v>0.2</v>
      </c>
      <c r="F18" s="322">
        <f>+SUM([3]DHL_Swift!$IF$19:$IO$19)</f>
        <v>196</v>
      </c>
      <c r="G18" s="217">
        <f>+SUM([3]DHL_Swift!$HR$19:$IA$19)</f>
        <v>296</v>
      </c>
      <c r="H18" s="323">
        <f t="shared" si="5"/>
        <v>-0.33783783783783783</v>
      </c>
      <c r="I18" s="324">
        <f t="shared" si="0"/>
        <v>1.6924272515326827E-2</v>
      </c>
      <c r="J18" s="258"/>
      <c r="K18" s="39" t="s">
        <v>208</v>
      </c>
      <c r="L18" s="322">
        <f>+[3]DHL_Swift!$IO$64</f>
        <v>330275</v>
      </c>
      <c r="M18" s="217">
        <f>+[3]DHL_Swift!$IA$64</f>
        <v>133471</v>
      </c>
      <c r="N18" s="324">
        <f t="shared" si="1"/>
        <v>1.4745075709330118</v>
      </c>
      <c r="O18" s="322">
        <f>+SUM([3]DHL_Swift!$IF$64:$IO$64)</f>
        <v>3379733</v>
      </c>
      <c r="P18" s="217">
        <f>+SUM([3]DHL_Swift!$HR$64:$IA$64)</f>
        <v>7558197</v>
      </c>
      <c r="Q18" s="323">
        <f t="shared" si="2"/>
        <v>-0.55283872595540973</v>
      </c>
      <c r="R18" s="324">
        <f t="shared" si="3"/>
        <v>1.1278675448652348E-2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180</v>
      </c>
      <c r="B20" s="39"/>
      <c r="C20" s="386">
        <f>SUM(C21:C24)</f>
        <v>300</v>
      </c>
      <c r="D20" s="382">
        <f>SUM(D21:D24)</f>
        <v>308</v>
      </c>
      <c r="E20" s="383">
        <f>(C20-D20)/D20</f>
        <v>-2.5974025974025976E-2</v>
      </c>
      <c r="F20" s="386">
        <f>SUM(F21:F24)</f>
        <v>2670</v>
      </c>
      <c r="G20" s="382">
        <f>SUM(G21:G24)</f>
        <v>3268</v>
      </c>
      <c r="H20" s="384">
        <f t="shared" ref="H20:H21" si="14">(F20-G20)/G20</f>
        <v>-0.18298653610771115</v>
      </c>
      <c r="I20" s="383">
        <f>+F20/$F$34</f>
        <v>0.23055003885674813</v>
      </c>
      <c r="J20" s="258" t="s">
        <v>180</v>
      </c>
      <c r="K20" s="39"/>
      <c r="L20" s="386">
        <f>SUM(L21:L24)</f>
        <v>13178928</v>
      </c>
      <c r="M20" s="382">
        <f>SUM(M21:M24)</f>
        <v>14966416</v>
      </c>
      <c r="N20" s="383">
        <f>(L20-M20)/M20</f>
        <v>-0.11943326979552085</v>
      </c>
      <c r="O20" s="386">
        <f>SUM(O21:O24)</f>
        <v>128650612</v>
      </c>
      <c r="P20" s="382">
        <f>SUM(P21:P24)</f>
        <v>150266834</v>
      </c>
      <c r="Q20" s="384">
        <f t="shared" ref="Q20:Q22" si="15">(O20-P20)/P20</f>
        <v>-0.14385224886018427</v>
      </c>
      <c r="R20" s="383">
        <f>O20/$O$34</f>
        <v>0.4293263695737205</v>
      </c>
      <c r="T20" s="391"/>
    </row>
    <row r="21" spans="1:20" ht="14.1" customHeight="1" x14ac:dyDescent="0.2">
      <c r="A21" s="37"/>
      <c r="B21" s="318" t="s">
        <v>180</v>
      </c>
      <c r="C21" s="322">
        <f>+[3]FedEx!$IO$19</f>
        <v>216</v>
      </c>
      <c r="D21" s="217">
        <f>+[3]FedEx!$IA$19</f>
        <v>234</v>
      </c>
      <c r="E21" s="324">
        <f>(C21-D21)/D21</f>
        <v>-7.6923076923076927E-2</v>
      </c>
      <c r="F21" s="322">
        <f>+SUM([3]FedEx!$IF$19:$IO$19)</f>
        <v>1934</v>
      </c>
      <c r="G21" s="217">
        <f>+SUM([3]FedEx!$HR$19:$IA$19)</f>
        <v>2540</v>
      </c>
      <c r="H21" s="323">
        <f t="shared" si="14"/>
        <v>-0.23858267716535433</v>
      </c>
      <c r="I21" s="324">
        <f>+F21/$F$34</f>
        <v>0.1669976685951127</v>
      </c>
      <c r="J21" s="258"/>
      <c r="K21" s="318" t="s">
        <v>180</v>
      </c>
      <c r="L21" s="322">
        <f>+[3]FedEx!$IO$64</f>
        <v>13089154</v>
      </c>
      <c r="M21" s="217">
        <f>+[3]FedEx!$IA$64</f>
        <v>14743955</v>
      </c>
      <c r="N21" s="324">
        <f>(L21-M21)/M21</f>
        <v>-0.11223589599941128</v>
      </c>
      <c r="O21" s="322">
        <f>+SUM([3]FedEx!$IF$64:$IO$64)</f>
        <v>126626038</v>
      </c>
      <c r="P21" s="217">
        <f>+SUM([3]FedEx!$HR$64:$IA$64)</f>
        <v>148195338</v>
      </c>
      <c r="Q21" s="323">
        <f t="shared" si="15"/>
        <v>-0.14554641388246639</v>
      </c>
      <c r="R21" s="324">
        <f>O21/$O$34</f>
        <v>0.42257006276848474</v>
      </c>
      <c r="T21" s="391"/>
    </row>
    <row r="22" spans="1:20" ht="14.1" customHeight="1" x14ac:dyDescent="0.2">
      <c r="A22" s="37"/>
      <c r="B22" s="318" t="s">
        <v>209</v>
      </c>
      <c r="C22" s="322">
        <f>+'[3]Mountain Cargo'!$IO$19</f>
        <v>48</v>
      </c>
      <c r="D22" s="217">
        <f>+'[3]Mountain Cargo'!$IA$19</f>
        <v>42</v>
      </c>
      <c r="E22" s="324">
        <f>(C22-D22)/D22</f>
        <v>0.14285714285714285</v>
      </c>
      <c r="F22" s="322">
        <f>+SUM('[3]Mountain Cargo'!$IF$19:$IO$19)</f>
        <v>426</v>
      </c>
      <c r="G22" s="217">
        <f>+SUM('[3]Mountain Cargo'!$HR$19:$IA$19)</f>
        <v>418</v>
      </c>
      <c r="H22" s="323">
        <f>(F22-G22)/G22</f>
        <v>1.9138755980861243E-2</v>
      </c>
      <c r="I22" s="324">
        <f>+F22/$F$34</f>
        <v>3.6784388222087905E-2</v>
      </c>
      <c r="J22" s="363"/>
      <c r="K22" s="318" t="s">
        <v>209</v>
      </c>
      <c r="L22" s="322">
        <f>+'[3]Mountain Cargo'!$IO$64</f>
        <v>19002</v>
      </c>
      <c r="M22" s="217">
        <f>+'[3]Mountain Cargo'!$IA$64</f>
        <v>167301</v>
      </c>
      <c r="N22" s="324">
        <f>(L22-M22)/M22</f>
        <v>-0.8864202843975828</v>
      </c>
      <c r="O22" s="322">
        <f>+SUM('[3]Mountain Cargo'!$IF$64:$IO$64)</f>
        <v>1450344</v>
      </c>
      <c r="P22" s="217">
        <f>+SUM('[3]Mountain Cargo'!$HR$64:$IA$64)</f>
        <v>1489076</v>
      </c>
      <c r="Q22" s="323">
        <f t="shared" si="15"/>
        <v>-2.6010761035702677E-2</v>
      </c>
      <c r="R22" s="324">
        <f>O22/$O$34</f>
        <v>4.8400152511752382E-3</v>
      </c>
      <c r="T22" s="391"/>
    </row>
    <row r="23" spans="1:20" ht="14.1" customHeight="1" x14ac:dyDescent="0.2">
      <c r="A23" s="37"/>
      <c r="B23" s="318" t="s">
        <v>174</v>
      </c>
      <c r="C23" s="322">
        <f>+[3]IFL!$IO$19</f>
        <v>36</v>
      </c>
      <c r="D23" s="217">
        <f>+[3]IFL!$IA$19</f>
        <v>32</v>
      </c>
      <c r="E23" s="324">
        <f>(C23-D23)/D23</f>
        <v>0.125</v>
      </c>
      <c r="F23" s="322">
        <f>+SUM([3]IFL!$IF$19:$IO$19)</f>
        <v>310</v>
      </c>
      <c r="G23" s="217">
        <f>+SUM([3]IFL!$HR$19:$IA$19)</f>
        <v>310</v>
      </c>
      <c r="H23" s="323">
        <f>(F23-G23)/G23</f>
        <v>0</v>
      </c>
      <c r="I23" s="324">
        <f>+F23/$F$34</f>
        <v>2.6767982039547535E-2</v>
      </c>
      <c r="J23" s="363"/>
      <c r="K23" s="318" t="s">
        <v>174</v>
      </c>
      <c r="L23" s="322">
        <f>+[3]IFL!$IO$64</f>
        <v>70772</v>
      </c>
      <c r="M23" s="217">
        <f>+[3]IFL!$IA$64</f>
        <v>55160</v>
      </c>
      <c r="N23" s="324">
        <f>(L23-M23)/M23</f>
        <v>0.28303118201595356</v>
      </c>
      <c r="O23" s="322">
        <f>+SUM([3]IFL!$IF$64:$IO$64)</f>
        <v>574230</v>
      </c>
      <c r="P23" s="217">
        <f>+SUM([3]IFL!$HR$64:$IA$64)</f>
        <v>582420</v>
      </c>
      <c r="Q23" s="323">
        <f>(O23-P23)/P23</f>
        <v>-1.406201710106109E-2</v>
      </c>
      <c r="R23" s="324">
        <f>O23/$O$34</f>
        <v>1.9162915540605243E-3</v>
      </c>
      <c r="T23" s="391"/>
    </row>
    <row r="24" spans="1:20" ht="14.1" customHeight="1" x14ac:dyDescent="0.2">
      <c r="A24" s="258"/>
      <c r="B24" s="318" t="s">
        <v>84</v>
      </c>
      <c r="C24" s="322">
        <f>+'[3]CSA Air'!$IO$19</f>
        <v>0</v>
      </c>
      <c r="D24" s="217">
        <f>+'[3]CSA Air'!$IA$19</f>
        <v>0</v>
      </c>
      <c r="E24" s="324" t="e">
        <f>(C24-D24)/D24</f>
        <v>#DIV/0!</v>
      </c>
      <c r="F24" s="322">
        <f>+SUM('[3]CSA Air'!$IF$19:$IO$19)</f>
        <v>0</v>
      </c>
      <c r="G24" s="217">
        <f>+SUM('[3]CSA Air'!$HR$19:$IA$19)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Air'!$IO$64</f>
        <v>0</v>
      </c>
      <c r="M24" s="217">
        <f>+'[3]CSA Air'!$IA$64</f>
        <v>0</v>
      </c>
      <c r="N24" s="324" t="e">
        <f>(L24-M24)/M24</f>
        <v>#DIV/0!</v>
      </c>
      <c r="O24" s="322">
        <f>+SUM('[3]CSA Air'!$IF$64:$IO$64)</f>
        <v>0</v>
      </c>
      <c r="P24" s="217">
        <f>+SUM('[3]CSA Air'!$HR$64:$IA$64)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526</v>
      </c>
      <c r="D26" s="382">
        <f>SUM(D27:D28)</f>
        <v>608</v>
      </c>
      <c r="E26" s="383">
        <f>(C26-D26)/D26</f>
        <v>-0.13486842105263158</v>
      </c>
      <c r="F26" s="382">
        <f>SUM(F27:F28)</f>
        <v>5676</v>
      </c>
      <c r="G26" s="382">
        <f>SUM(G27:G28)</f>
        <v>6636</v>
      </c>
      <c r="H26" s="384">
        <f>(F26-G26)/G26</f>
        <v>-0.14466546112115733</v>
      </c>
      <c r="I26" s="383">
        <f>+F26/$F$34</f>
        <v>0.49011311631119936</v>
      </c>
      <c r="J26" s="258" t="s">
        <v>82</v>
      </c>
      <c r="K26" s="39"/>
      <c r="L26" s="382">
        <f>SUM(L27:L28)</f>
        <v>9669211</v>
      </c>
      <c r="M26" s="382">
        <f>SUM(M27:M28)</f>
        <v>12069906</v>
      </c>
      <c r="N26" s="383">
        <f>(L26-M26)/M26</f>
        <v>-0.19889922920692174</v>
      </c>
      <c r="O26" s="382">
        <f>SUM(O27:O28)</f>
        <v>102324789</v>
      </c>
      <c r="P26" s="382">
        <f>SUM(P27:P28)</f>
        <v>125436807</v>
      </c>
      <c r="Q26" s="384">
        <f>(O26-P26)/P26</f>
        <v>-0.18425228250588363</v>
      </c>
      <c r="R26" s="383">
        <f>O26/$O$34</f>
        <v>0.34147315349550744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+[3]UPS!$IO$19</f>
        <v>180</v>
      </c>
      <c r="D27" s="217">
        <f>+[3]UPS!$IA$19</f>
        <v>244</v>
      </c>
      <c r="E27" s="324">
        <f>(C27-D27)/D27</f>
        <v>-0.26229508196721313</v>
      </c>
      <c r="F27" s="322">
        <f>+SUM([3]UPS!$IF$19:$IO$19)</f>
        <v>2218</v>
      </c>
      <c r="G27" s="217">
        <f>+SUM([3]UPS!$HR$19:$IA$19)</f>
        <v>2732</v>
      </c>
      <c r="H27" s="323">
        <f>(F27-G27)/G27</f>
        <v>-0.18814055636896046</v>
      </c>
      <c r="I27" s="324">
        <f>+F27/$F$34</f>
        <v>0.19152059407650462</v>
      </c>
      <c r="J27" s="258"/>
      <c r="K27" s="318" t="s">
        <v>82</v>
      </c>
      <c r="L27" s="322">
        <f>+[3]UPS!$IO$64</f>
        <v>9669211</v>
      </c>
      <c r="M27" s="217">
        <f>+[3]UPS!$IA$64</f>
        <v>12069906</v>
      </c>
      <c r="N27" s="324">
        <f>(L27-M27)/M27</f>
        <v>-0.19889922920692174</v>
      </c>
      <c r="O27" s="322">
        <f>+SUM([3]UPS!$IF$64:$IO$64)</f>
        <v>102324789</v>
      </c>
      <c r="P27" s="217">
        <f>+SUM([3]UPS!$HR$64:$IA$64)</f>
        <v>125436807</v>
      </c>
      <c r="Q27" s="323">
        <f>(O27-P27)/P27</f>
        <v>-0.18425228250588363</v>
      </c>
      <c r="R27" s="324">
        <f>O27/$O$34</f>
        <v>0.34147315349550744</v>
      </c>
      <c r="S27" s="340"/>
      <c r="T27" s="393"/>
    </row>
    <row r="28" spans="1:20" x14ac:dyDescent="0.2">
      <c r="A28" s="258"/>
      <c r="B28" s="318" t="s">
        <v>83</v>
      </c>
      <c r="C28" s="322">
        <f>+[3]Bemidji!$IO$19</f>
        <v>346</v>
      </c>
      <c r="D28" s="217">
        <f>+[3]Bemidji!$IA$19</f>
        <v>364</v>
      </c>
      <c r="E28" s="324">
        <f>(C28-D28)/D28</f>
        <v>-4.9450549450549448E-2</v>
      </c>
      <c r="F28" s="322">
        <f>+SUM([3]Bemidji!$IF$19:$IO$19)</f>
        <v>3458</v>
      </c>
      <c r="G28" s="217">
        <f>+SUM([3]Bemidji!$HR$19:$IA$19)</f>
        <v>3904</v>
      </c>
      <c r="H28" s="323">
        <f t="shared" ref="H28" si="18">(F28-G28)/G28</f>
        <v>-0.11424180327868852</v>
      </c>
      <c r="I28" s="324">
        <f>+F28/$F$34</f>
        <v>0.29859252223469473</v>
      </c>
      <c r="J28" s="258"/>
      <c r="K28" s="318" t="s">
        <v>83</v>
      </c>
      <c r="L28" s="464" t="s">
        <v>183</v>
      </c>
      <c r="M28" s="465"/>
      <c r="N28" s="465"/>
      <c r="O28" s="465"/>
      <c r="P28" s="465"/>
      <c r="Q28" s="465"/>
      <c r="R28" s="466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126</v>
      </c>
      <c r="B30" s="39"/>
      <c r="C30" s="386">
        <f>+'[3]Misc Cargo'!$IO$19</f>
        <v>2</v>
      </c>
      <c r="D30" s="382">
        <f>+'[3]Misc Cargo'!$IA$19</f>
        <v>10</v>
      </c>
      <c r="E30" s="383">
        <f>(C30-D30)/D30</f>
        <v>-0.8</v>
      </c>
      <c r="F30" s="386">
        <f>+SUM('[3]Misc Cargo'!$IF$19:$IO$19)</f>
        <v>2</v>
      </c>
      <c r="G30" s="382">
        <f>+SUM('[3]Misc Cargo'!$HR$19:$IA$19)</f>
        <v>12</v>
      </c>
      <c r="H30" s="384">
        <f>(F30-G30)/G30</f>
        <v>-0.83333333333333337</v>
      </c>
      <c r="I30" s="383">
        <f>+F30/$F$34</f>
        <v>1.7269665831966152E-4</v>
      </c>
      <c r="J30" s="258" t="s">
        <v>126</v>
      </c>
      <c r="K30" s="39"/>
      <c r="L30" s="386">
        <f>+'[3]Misc Cargo'!$IO$64</f>
        <v>150</v>
      </c>
      <c r="M30" s="382">
        <f>+'[3]Misc Cargo'!$IA$64</f>
        <v>111244</v>
      </c>
      <c r="N30" s="383">
        <f>(L30-M30)/M30</f>
        <v>-0.99865161267124514</v>
      </c>
      <c r="O30" s="386">
        <f>+SUM('[3]Misc Cargo'!$IF$64:$IO$64)</f>
        <v>150</v>
      </c>
      <c r="P30" s="382">
        <f>+SUM('[3]Misc Cargo'!$HR$64:$IA$64)</f>
        <v>111244</v>
      </c>
      <c r="Q30" s="384">
        <f>(O30-P30)/P30</f>
        <v>-0.99865161267124514</v>
      </c>
      <c r="R30" s="383">
        <f>O30/$O$34</f>
        <v>5.0057247637545691E-7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181</v>
      </c>
      <c r="C34" s="344">
        <f>+C30+C26+C20+C9+C5</f>
        <v>1206</v>
      </c>
      <c r="D34" s="344">
        <f>+D30+D26+D20+D9+D5</f>
        <v>1223</v>
      </c>
      <c r="E34" s="345">
        <f>(C34-D34)/D34</f>
        <v>-1.3900245298446443E-2</v>
      </c>
      <c r="F34" s="344">
        <f>+F30+F26+F20+F9+F5</f>
        <v>11581</v>
      </c>
      <c r="G34" s="344">
        <f>+G30+G26+G20+G9+G5</f>
        <v>12891</v>
      </c>
      <c r="H34" s="346">
        <f>(F34-G34)/G34</f>
        <v>-0.1016212861686448</v>
      </c>
      <c r="I34" s="352"/>
      <c r="K34" s="343" t="s">
        <v>181</v>
      </c>
      <c r="L34" s="344">
        <f>+L30+L26+L20+L9+L5</f>
        <v>30834098</v>
      </c>
      <c r="M34" s="344">
        <f>+M30+M26+M20+M9+M5</f>
        <v>34162330</v>
      </c>
      <c r="N34" s="347">
        <f>(L34-M34)/M34</f>
        <v>-9.7424034016415154E-2</v>
      </c>
      <c r="O34" s="344">
        <f>+O30+O26+O20+O9+O5</f>
        <v>299656907</v>
      </c>
      <c r="P34" s="344">
        <f>+P30+P26+P20+P9+P5</f>
        <v>348902189</v>
      </c>
      <c r="Q34" s="346">
        <f t="shared" ref="Q34" si="19">(O34-P34)/P34</f>
        <v>-0.14114351687257543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October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2024-01-23T15:43:24Z</dcterms:modified>
</cp:coreProperties>
</file>